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1"/>
  </bookViews>
  <sheets>
    <sheet name="หาร" sheetId="1" r:id="rId1"/>
    <sheet name="20" sheetId="2" r:id="rId2"/>
  </sheets>
  <definedNames/>
  <calcPr fullCalcOnLoad="1"/>
</workbook>
</file>

<file path=xl/sharedStrings.xml><?xml version="1.0" encoding="utf-8"?>
<sst xmlns="http://schemas.openxmlformats.org/spreadsheetml/2006/main" count="489" uniqueCount="196">
  <si>
    <t xml:space="preserve">        รวม          </t>
  </si>
  <si>
    <t xml:space="preserve">  เงินกู้ระยะสั้น    </t>
  </si>
  <si>
    <t xml:space="preserve">   เงินกู้ระยะยาว    </t>
  </si>
  <si>
    <t xml:space="preserve">    หนี้สินอื่น ๆ    </t>
  </si>
  <si>
    <t xml:space="preserve">       Total         </t>
  </si>
  <si>
    <t xml:space="preserve">  Short term loan    </t>
  </si>
  <si>
    <t xml:space="preserve">   Long term loan    </t>
  </si>
  <si>
    <t xml:space="preserve">     Other debt      </t>
  </si>
  <si>
    <t xml:space="preserve">     จำนวน     </t>
  </si>
  <si>
    <t>ร้อยละ</t>
  </si>
  <si>
    <t xml:space="preserve">     Number    </t>
  </si>
  <si>
    <t xml:space="preserve">  %   </t>
  </si>
  <si>
    <t xml:space="preserve">  Central Region                   </t>
  </si>
  <si>
    <t xml:space="preserve">        Samutprakan                </t>
  </si>
  <si>
    <t xml:space="preserve">              -</t>
  </si>
  <si>
    <t xml:space="preserve">     -</t>
  </si>
  <si>
    <t xml:space="preserve">        Nonthaburi                 </t>
  </si>
  <si>
    <t xml:space="preserve">        Pathum Thani               </t>
  </si>
  <si>
    <t xml:space="preserve">        Phra Nakhon Si Ayutthaya   </t>
  </si>
  <si>
    <t xml:space="preserve">        Ang Thong                  </t>
  </si>
  <si>
    <t xml:space="preserve">        Lopburi                    </t>
  </si>
  <si>
    <t xml:space="preserve">        Singburi                   </t>
  </si>
  <si>
    <t xml:space="preserve">        Chainat                    </t>
  </si>
  <si>
    <t xml:space="preserve">        Saraburi                   </t>
  </si>
  <si>
    <t xml:space="preserve">        Chonburi                   </t>
  </si>
  <si>
    <t xml:space="preserve">        Rayong                     </t>
  </si>
  <si>
    <t xml:space="preserve">        Chanthaburi                </t>
  </si>
  <si>
    <t xml:space="preserve">        Trat                       </t>
  </si>
  <si>
    <t xml:space="preserve">        Chachoengsao               </t>
  </si>
  <si>
    <t xml:space="preserve">        Prachinburi                </t>
  </si>
  <si>
    <t xml:space="preserve">        Nakhonnayok                </t>
  </si>
  <si>
    <t xml:space="preserve">        Sra Kaew                   </t>
  </si>
  <si>
    <t xml:space="preserve">        Ratchaburi                 </t>
  </si>
  <si>
    <t xml:space="preserve">        Kanchanaburi               </t>
  </si>
  <si>
    <t xml:space="preserve">        Suphanburi                 </t>
  </si>
  <si>
    <t xml:space="preserve">        Nakhon Pathom              </t>
  </si>
  <si>
    <t xml:space="preserve">        Samutsakon                 </t>
  </si>
  <si>
    <t xml:space="preserve">        Samutsongkram              </t>
  </si>
  <si>
    <t xml:space="preserve">        Phetchaburi                </t>
  </si>
  <si>
    <t xml:space="preserve">        Prachuapkhiri Khan         </t>
  </si>
  <si>
    <t xml:space="preserve">  Northern Region                  </t>
  </si>
  <si>
    <t xml:space="preserve">        Chiang Mai                 </t>
  </si>
  <si>
    <t xml:space="preserve">        Lamphun                    </t>
  </si>
  <si>
    <t xml:space="preserve">        Lampang                    </t>
  </si>
  <si>
    <t xml:space="preserve">        Uttaradit                  </t>
  </si>
  <si>
    <t xml:space="preserve">        Phrae                      </t>
  </si>
  <si>
    <t xml:space="preserve">        Nan                        </t>
  </si>
  <si>
    <t xml:space="preserve">        Phayao                     </t>
  </si>
  <si>
    <t xml:space="preserve">        Chiang Rai                 </t>
  </si>
  <si>
    <t xml:space="preserve">        Maehongson                 </t>
  </si>
  <si>
    <t xml:space="preserve">        Nakhonsawan                </t>
  </si>
  <si>
    <t xml:space="preserve">        Uthaithani                 </t>
  </si>
  <si>
    <t xml:space="preserve">        Kamphaeng Phet             </t>
  </si>
  <si>
    <t xml:space="preserve">        Tak                        </t>
  </si>
  <si>
    <t xml:space="preserve">        Sukhothai                  </t>
  </si>
  <si>
    <t xml:space="preserve">        Phisanulok                 </t>
  </si>
  <si>
    <t xml:space="preserve">        Phichit                    </t>
  </si>
  <si>
    <t xml:space="preserve">        Phetchabun                 </t>
  </si>
  <si>
    <t xml:space="preserve">  Northeastern Region              </t>
  </si>
  <si>
    <t xml:space="preserve">        Nakhon Ratchasima          </t>
  </si>
  <si>
    <t xml:space="preserve">        Buriram                    </t>
  </si>
  <si>
    <t xml:space="preserve">        Surin                      </t>
  </si>
  <si>
    <t xml:space="preserve">        Sisaket                    </t>
  </si>
  <si>
    <t xml:space="preserve">        Ubonratchathani            </t>
  </si>
  <si>
    <t xml:space="preserve">        Yasothon                   </t>
  </si>
  <si>
    <t xml:space="preserve">        Chaiyaphum                 </t>
  </si>
  <si>
    <t xml:space="preserve">        Amnat Charoen              </t>
  </si>
  <si>
    <t xml:space="preserve">        Nongbualamphu              </t>
  </si>
  <si>
    <t xml:space="preserve">        Khonkaen                   </t>
  </si>
  <si>
    <t xml:space="preserve">        Udonthani                  </t>
  </si>
  <si>
    <t xml:space="preserve">        Loei                       </t>
  </si>
  <si>
    <t xml:space="preserve">        Nongkhai                   </t>
  </si>
  <si>
    <t xml:space="preserve">        Mahasarakham               </t>
  </si>
  <si>
    <t xml:space="preserve">        Roi-et                     </t>
  </si>
  <si>
    <t xml:space="preserve">        Kalasin                    </t>
  </si>
  <si>
    <t xml:space="preserve">        Sakonnakhon                </t>
  </si>
  <si>
    <t xml:space="preserve">        Naknon Phanom              </t>
  </si>
  <si>
    <t xml:space="preserve">        Mukdahan                   </t>
  </si>
  <si>
    <t xml:space="preserve">  Southern Region                  </t>
  </si>
  <si>
    <t xml:space="preserve">        Nakhon Si Thammarat        </t>
  </si>
  <si>
    <t xml:space="preserve">        Krabi                      </t>
  </si>
  <si>
    <t xml:space="preserve">        Phangnga                   </t>
  </si>
  <si>
    <t xml:space="preserve">        Phuket                     </t>
  </si>
  <si>
    <t xml:space="preserve">        Suratthani                 </t>
  </si>
  <si>
    <t xml:space="preserve">        Ranong                     </t>
  </si>
  <si>
    <t xml:space="preserve">        Chumphon                   </t>
  </si>
  <si>
    <t xml:space="preserve">        Songkhla                   </t>
  </si>
  <si>
    <t xml:space="preserve">        Satun                      </t>
  </si>
  <si>
    <t xml:space="preserve">        Trang                      </t>
  </si>
  <si>
    <t xml:space="preserve">        Phatthalung                </t>
  </si>
  <si>
    <t xml:space="preserve">        Pattani                    </t>
  </si>
  <si>
    <t xml:space="preserve">        Yala                       </t>
  </si>
  <si>
    <t xml:space="preserve">        Narathiwat                 </t>
  </si>
  <si>
    <t>จังหวัด</t>
  </si>
  <si>
    <t>Changwat</t>
  </si>
  <si>
    <t xml:space="preserve">ภาคกลาง                          </t>
  </si>
  <si>
    <t xml:space="preserve">สมุทรปราการ         </t>
  </si>
  <si>
    <t xml:space="preserve">นนทบุรี             </t>
  </si>
  <si>
    <t xml:space="preserve">ปทุมธานี            </t>
  </si>
  <si>
    <t xml:space="preserve">พระนครศรีอยุธยา     </t>
  </si>
  <si>
    <t xml:space="preserve">อ่างทอง             </t>
  </si>
  <si>
    <t xml:space="preserve">ลพบุรี              </t>
  </si>
  <si>
    <t xml:space="preserve">สิงห์บุรี           </t>
  </si>
  <si>
    <t xml:space="preserve">ชัยนาท              </t>
  </si>
  <si>
    <t xml:space="preserve">สระบุรี             </t>
  </si>
  <si>
    <t xml:space="preserve">ชลบุรี              </t>
  </si>
  <si>
    <t xml:space="preserve">ระยอง               </t>
  </si>
  <si>
    <t xml:space="preserve">จันทบุรี            </t>
  </si>
  <si>
    <t xml:space="preserve">ตราด                </t>
  </si>
  <si>
    <t xml:space="preserve">ฉะเชิงเทรา          </t>
  </si>
  <si>
    <t xml:space="preserve">ปราจีนบุรี          </t>
  </si>
  <si>
    <t xml:space="preserve">นครนายก             </t>
  </si>
  <si>
    <t xml:space="preserve">สระแก้ว             </t>
  </si>
  <si>
    <t xml:space="preserve">ราชบุรี             </t>
  </si>
  <si>
    <t xml:space="preserve">กาญจนบุรี           </t>
  </si>
  <si>
    <t xml:space="preserve">สุพรรณบุรี          </t>
  </si>
  <si>
    <t xml:space="preserve">นครปฐม              </t>
  </si>
  <si>
    <t xml:space="preserve">สมุทรสาคร           </t>
  </si>
  <si>
    <t xml:space="preserve">สมุทรสงคราม         </t>
  </si>
  <si>
    <t xml:space="preserve">เพชรบุรี            </t>
  </si>
  <si>
    <t xml:space="preserve">ประจวบคีรีขันธ์     </t>
  </si>
  <si>
    <t xml:space="preserve">ภาคเหนือ                         </t>
  </si>
  <si>
    <t xml:space="preserve">เชียงใหม่           </t>
  </si>
  <si>
    <t xml:space="preserve">ลำพูน               </t>
  </si>
  <si>
    <t xml:space="preserve">ลำปาง               </t>
  </si>
  <si>
    <t xml:space="preserve">อุตรดิตถ์           </t>
  </si>
  <si>
    <t xml:space="preserve">แพร่                </t>
  </si>
  <si>
    <t xml:space="preserve">น่าน                </t>
  </si>
  <si>
    <t xml:space="preserve">พะเยา               </t>
  </si>
  <si>
    <t xml:space="preserve">เชียงราย            </t>
  </si>
  <si>
    <t xml:space="preserve">แม่ฮ่องสอน          </t>
  </si>
  <si>
    <t xml:space="preserve">นครสวรรค์           </t>
  </si>
  <si>
    <t xml:space="preserve">อุทัยธานี           </t>
  </si>
  <si>
    <t xml:space="preserve">กำแพงเพชร           </t>
  </si>
  <si>
    <t xml:space="preserve">ตาก                 </t>
  </si>
  <si>
    <t xml:space="preserve">สุโขทัย             </t>
  </si>
  <si>
    <t xml:space="preserve">พิษณุโลก            </t>
  </si>
  <si>
    <t xml:space="preserve">พิจิตร              </t>
  </si>
  <si>
    <t xml:space="preserve">เพชรบูรณ์           </t>
  </si>
  <si>
    <t xml:space="preserve">ภาคตะวันออกเฉียงเหนือ                        </t>
  </si>
  <si>
    <t xml:space="preserve">นครราชสีมา          </t>
  </si>
  <si>
    <t xml:space="preserve">บุรีรัมย์           </t>
  </si>
  <si>
    <t xml:space="preserve">สุรินทร์            </t>
  </si>
  <si>
    <t xml:space="preserve">ศรีสะเกษ            </t>
  </si>
  <si>
    <t xml:space="preserve">อุบลราชธานี         </t>
  </si>
  <si>
    <t xml:space="preserve">ยโสธร               </t>
  </si>
  <si>
    <t xml:space="preserve">ชัยภูมิ             </t>
  </si>
  <si>
    <t xml:space="preserve">อำนาจเจริญ          </t>
  </si>
  <si>
    <t xml:space="preserve">หนองบัวลำภู         </t>
  </si>
  <si>
    <t xml:space="preserve">ขอนแก่น             </t>
  </si>
  <si>
    <t xml:space="preserve">อุดรธานี            </t>
  </si>
  <si>
    <t xml:space="preserve">เลย                 </t>
  </si>
  <si>
    <t xml:space="preserve">หนองคาย             </t>
  </si>
  <si>
    <t xml:space="preserve">มหาสารคาม           </t>
  </si>
  <si>
    <t xml:space="preserve">ร้อยเอ็ด            </t>
  </si>
  <si>
    <t xml:space="preserve">กาฬสินธุ์           </t>
  </si>
  <si>
    <t xml:space="preserve">สกลนคร              </t>
  </si>
  <si>
    <t xml:space="preserve">นครพนม              </t>
  </si>
  <si>
    <t xml:space="preserve">มุกดาหาร            </t>
  </si>
  <si>
    <t xml:space="preserve">ภาคใต้                           </t>
  </si>
  <si>
    <t xml:space="preserve">นครศรีธรรมราช       </t>
  </si>
  <si>
    <t xml:space="preserve">กระบี่              </t>
  </si>
  <si>
    <t xml:space="preserve">พังงา               </t>
  </si>
  <si>
    <t xml:space="preserve">ภูเก็ต              </t>
  </si>
  <si>
    <t xml:space="preserve">สุราษฎร์ธานี        </t>
  </si>
  <si>
    <t xml:space="preserve">ระนอง               </t>
  </si>
  <si>
    <t xml:space="preserve">ชุมพร               </t>
  </si>
  <si>
    <t xml:space="preserve">สงขลา               </t>
  </si>
  <si>
    <t xml:space="preserve">สตูล                </t>
  </si>
  <si>
    <t xml:space="preserve">ตรัง                </t>
  </si>
  <si>
    <t xml:space="preserve">พัทลุง              </t>
  </si>
  <si>
    <t xml:space="preserve">ปัตตานี             </t>
  </si>
  <si>
    <t xml:space="preserve">ยะลา                </t>
  </si>
  <si>
    <t xml:space="preserve">นราธิวาส            </t>
  </si>
  <si>
    <t>TABLE 19 VALUE OF DEBTS AS OF DECEMBER 31, 2001 BY TYPE OF DEBTS, SIZE OF ESTABLISHMENT AND CHANGWAT</t>
  </si>
  <si>
    <t>ตาราง    19  มูลค่าหนี้สินของโรงแรมและเกสต์เฮาส์ ณ วันที่ 31 ธันวาคม 2544 จำแนกตามประเภทของหนี้สิน และจังหวัด</t>
  </si>
  <si>
    <t>ล้านบาท : Million baht</t>
  </si>
  <si>
    <t>..</t>
  </si>
  <si>
    <t xml:space="preserve">Total         </t>
  </si>
  <si>
    <t xml:space="preserve">รวม          </t>
  </si>
  <si>
    <t xml:space="preserve">%   </t>
  </si>
  <si>
    <t xml:space="preserve">เงินกู้ระยะสั้น    </t>
  </si>
  <si>
    <t xml:space="preserve">Short term loan    </t>
  </si>
  <si>
    <t xml:space="preserve">Long term loan    </t>
  </si>
  <si>
    <t xml:space="preserve">เงินกู้ระยะยาว    </t>
  </si>
  <si>
    <t xml:space="preserve">Other debt      </t>
  </si>
  <si>
    <t xml:space="preserve">หนี้สินอื่น ๆ    </t>
  </si>
  <si>
    <t>พันบาท : In Thousand Baht</t>
  </si>
  <si>
    <t xml:space="preserve">จำนวนเงิน     </t>
  </si>
  <si>
    <t>Amount</t>
  </si>
  <si>
    <t>หมายเหตุ:  ..  ต่ำกว่าร้อยละ 0.1</t>
  </si>
  <si>
    <t xml:space="preserve">        Note:  ..  Less than 0.1</t>
  </si>
  <si>
    <t xml:space="preserve">         ที่มา: รายงานการสำรวจการประกอบกิจการโรงแรมและเกสต์เฮาส์ พ.ศ.2545 สำนักงานสถิติแห่งชาติ กระทรวงเทคโนโลยีสารสนเทศและการสื่อสาร</t>
  </si>
  <si>
    <t xml:space="preserve">    Source: Report of the 2002 Hotels and Guest Houses, National Statistical Office, Ministry of Information and Communication Technology.</t>
  </si>
  <si>
    <t xml:space="preserve">ตาราง    20 มูลค่าหนี้สินของโรงแรมและเกสต์เฮาส์ ณ วันที่ 31 ธันวาคม 2544 จำแนกตามประเภทของหนี้สิน และจังหวัด ภาคกลาง </t>
  </si>
  <si>
    <t>TABLE  20 VALUE OF DEBTS AS OF DECEMBER 31, 2001 BY TYPE OF DEBTS AND CHANGWAT, CENTRAL REGION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</si>
</sst>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</numFmts>
  <fonts count="8">
    <font>
      <sz val="14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b/>
      <sz val="15"/>
      <name val="Angsana New"/>
      <family val="1"/>
    </font>
    <font>
      <sz val="15"/>
      <name val="Angsana New"/>
      <family val="1"/>
    </font>
    <font>
      <b/>
      <sz val="13"/>
      <name val="Angsana New"/>
      <family val="1"/>
    </font>
    <font>
      <b/>
      <sz val="12"/>
      <name val="Angsana New"/>
      <family val="1"/>
    </font>
    <font>
      <sz val="12"/>
      <name val="Angsana New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187" fontId="1" fillId="0" borderId="0" xfId="0" applyNumberFormat="1" applyFont="1" applyAlignment="1">
      <alignment horizontal="right"/>
    </xf>
    <xf numFmtId="187" fontId="1" fillId="0" borderId="1" xfId="0" applyNumberFormat="1" applyFont="1" applyBorder="1" applyAlignment="1">
      <alignment horizontal="right"/>
    </xf>
    <xf numFmtId="187" fontId="2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left" indent="2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indent="2"/>
    </xf>
    <xf numFmtId="0" fontId="5" fillId="0" borderId="0" xfId="0" applyFont="1" applyAlignment="1">
      <alignment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/>
    </xf>
    <xf numFmtId="187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87" fontId="4" fillId="0" borderId="0" xfId="0" applyNumberFormat="1" applyFont="1" applyBorder="1" applyAlignment="1">
      <alignment horizontal="right"/>
    </xf>
    <xf numFmtId="187" fontId="4" fillId="0" borderId="0" xfId="0" applyNumberFormat="1" applyFont="1" applyBorder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187" fontId="7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87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187" fontId="7" fillId="0" borderId="0" xfId="0" applyNumberFormat="1" applyFont="1" applyBorder="1" applyAlignment="1">
      <alignment horizontal="right"/>
    </xf>
    <xf numFmtId="187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5"/>
  <sheetViews>
    <sheetView workbookViewId="0" topLeftCell="F85">
      <selection activeCell="I90" sqref="I90"/>
    </sheetView>
  </sheetViews>
  <sheetFormatPr defaultColWidth="9.140625" defaultRowHeight="21.75"/>
  <cols>
    <col min="1" max="1" width="22.7109375" style="1" customWidth="1"/>
    <col min="2" max="2" width="12.7109375" style="1" customWidth="1"/>
    <col min="3" max="3" width="2.7109375" style="1" customWidth="1"/>
    <col min="4" max="4" width="9.28125" style="1" customWidth="1"/>
    <col min="5" max="5" width="2.7109375" style="1" customWidth="1"/>
    <col min="6" max="6" width="1.7109375" style="1" customWidth="1"/>
    <col min="7" max="7" width="12.7109375" style="1" customWidth="1"/>
    <col min="8" max="8" width="2.7109375" style="1" customWidth="1"/>
    <col min="9" max="9" width="9.28125" style="1" customWidth="1"/>
    <col min="10" max="10" width="2.7109375" style="1" customWidth="1"/>
    <col min="11" max="11" width="1.7109375" style="1" customWidth="1"/>
    <col min="12" max="12" width="12.7109375" style="1" customWidth="1"/>
    <col min="13" max="13" width="2.7109375" style="1" customWidth="1"/>
    <col min="14" max="14" width="9.28125" style="1" customWidth="1"/>
    <col min="15" max="15" width="2.7109375" style="1" customWidth="1"/>
    <col min="16" max="16" width="1.7109375" style="1" customWidth="1"/>
    <col min="17" max="17" width="12.57421875" style="1" customWidth="1"/>
    <col min="18" max="18" width="2.7109375" style="1" customWidth="1"/>
    <col min="19" max="19" width="9.28125" style="1" customWidth="1"/>
    <col min="20" max="20" width="2.7109375" style="1" customWidth="1"/>
    <col min="21" max="21" width="1.7109375" style="1" customWidth="1"/>
    <col min="22" max="22" width="24.7109375" style="1" customWidth="1"/>
    <col min="23" max="16384" width="9.140625" style="1" customWidth="1"/>
  </cols>
  <sheetData>
    <row r="1" s="2" customFormat="1" ht="21" customHeight="1">
      <c r="A1" s="2" t="s">
        <v>175</v>
      </c>
    </row>
    <row r="2" s="2" customFormat="1" ht="21" customHeight="1">
      <c r="A2" s="2" t="s">
        <v>174</v>
      </c>
    </row>
    <row r="3" spans="7:22" ht="18" customHeight="1">
      <c r="G3" s="7"/>
      <c r="H3" s="7"/>
      <c r="I3" s="7"/>
      <c r="J3" s="7"/>
      <c r="K3" s="7"/>
      <c r="L3" s="7"/>
      <c r="M3" s="7"/>
      <c r="N3" s="7"/>
      <c r="O3" s="7"/>
      <c r="Q3" s="7"/>
      <c r="R3" s="7"/>
      <c r="S3" s="7"/>
      <c r="T3" s="7"/>
      <c r="U3" s="7"/>
      <c r="V3" s="4" t="s">
        <v>176</v>
      </c>
    </row>
    <row r="4" spans="1:22" ht="18" customHeight="1">
      <c r="A4" s="44" t="s">
        <v>93</v>
      </c>
      <c r="B4" s="41" t="s">
        <v>0</v>
      </c>
      <c r="C4" s="41"/>
      <c r="D4" s="41"/>
      <c r="E4" s="41"/>
      <c r="F4" s="15"/>
      <c r="G4" s="43" t="s">
        <v>1</v>
      </c>
      <c r="H4" s="43"/>
      <c r="I4" s="43"/>
      <c r="J4" s="43"/>
      <c r="K4" s="16"/>
      <c r="L4" s="43" t="s">
        <v>2</v>
      </c>
      <c r="M4" s="43"/>
      <c r="N4" s="43"/>
      <c r="O4" s="43"/>
      <c r="P4" s="15"/>
      <c r="Q4" s="43" t="s">
        <v>3</v>
      </c>
      <c r="R4" s="43"/>
      <c r="S4" s="43"/>
      <c r="T4" s="43"/>
      <c r="U4" s="16"/>
      <c r="V4" s="44" t="s">
        <v>94</v>
      </c>
    </row>
    <row r="5" spans="1:22" ht="18" customHeight="1">
      <c r="A5" s="45"/>
      <c r="B5" s="42" t="s">
        <v>4</v>
      </c>
      <c r="C5" s="42"/>
      <c r="D5" s="42"/>
      <c r="E5" s="42"/>
      <c r="F5" s="16"/>
      <c r="G5" s="42" t="s">
        <v>5</v>
      </c>
      <c r="H5" s="42"/>
      <c r="I5" s="42"/>
      <c r="J5" s="42"/>
      <c r="K5" s="16"/>
      <c r="L5" s="42" t="s">
        <v>6</v>
      </c>
      <c r="M5" s="42"/>
      <c r="N5" s="42"/>
      <c r="O5" s="42"/>
      <c r="P5" s="16"/>
      <c r="Q5" s="42" t="s">
        <v>7</v>
      </c>
      <c r="R5" s="42"/>
      <c r="S5" s="42"/>
      <c r="T5" s="42"/>
      <c r="U5" s="16"/>
      <c r="V5" s="45"/>
    </row>
    <row r="6" spans="1:22" ht="18" customHeight="1">
      <c r="A6" s="45"/>
      <c r="B6" s="41" t="s">
        <v>8</v>
      </c>
      <c r="C6" s="41"/>
      <c r="D6" s="41" t="s">
        <v>9</v>
      </c>
      <c r="E6" s="41"/>
      <c r="F6" s="16"/>
      <c r="G6" s="41" t="s">
        <v>8</v>
      </c>
      <c r="H6" s="41"/>
      <c r="I6" s="41" t="s">
        <v>9</v>
      </c>
      <c r="J6" s="41"/>
      <c r="K6" s="16"/>
      <c r="L6" s="41" t="s">
        <v>8</v>
      </c>
      <c r="M6" s="41"/>
      <c r="N6" s="41" t="s">
        <v>9</v>
      </c>
      <c r="O6" s="41"/>
      <c r="P6" s="16"/>
      <c r="Q6" s="41" t="s">
        <v>8</v>
      </c>
      <c r="R6" s="41"/>
      <c r="S6" s="41" t="s">
        <v>9</v>
      </c>
      <c r="T6" s="41"/>
      <c r="U6" s="16"/>
      <c r="V6" s="45"/>
    </row>
    <row r="7" spans="1:22" ht="18" customHeight="1">
      <c r="A7" s="46"/>
      <c r="B7" s="42" t="s">
        <v>10</v>
      </c>
      <c r="C7" s="42"/>
      <c r="D7" s="42" t="s">
        <v>11</v>
      </c>
      <c r="E7" s="42"/>
      <c r="F7" s="7"/>
      <c r="G7" s="42" t="s">
        <v>10</v>
      </c>
      <c r="H7" s="42"/>
      <c r="I7" s="42" t="s">
        <v>11</v>
      </c>
      <c r="J7" s="42"/>
      <c r="K7" s="7"/>
      <c r="L7" s="42" t="s">
        <v>10</v>
      </c>
      <c r="M7" s="42"/>
      <c r="N7" s="42" t="s">
        <v>11</v>
      </c>
      <c r="O7" s="42"/>
      <c r="P7" s="7"/>
      <c r="Q7" s="42" t="s">
        <v>10</v>
      </c>
      <c r="R7" s="42"/>
      <c r="S7" s="42" t="s">
        <v>11</v>
      </c>
      <c r="T7" s="42"/>
      <c r="U7" s="7"/>
      <c r="V7" s="46"/>
    </row>
    <row r="8" spans="1:22" s="2" customFormat="1" ht="18" customHeight="1">
      <c r="A8" s="13" t="s">
        <v>95</v>
      </c>
      <c r="B8" s="12">
        <f>10423896.67/1000</f>
        <v>10423.89667</v>
      </c>
      <c r="C8" s="12"/>
      <c r="D8" s="12">
        <v>100</v>
      </c>
      <c r="E8" s="12"/>
      <c r="F8" s="12"/>
      <c r="G8" s="12">
        <f>1451487.92/1000</f>
        <v>1451.48792</v>
      </c>
      <c r="H8" s="12"/>
      <c r="I8" s="12">
        <f>G8/B8*100</f>
        <v>13.92461922783047</v>
      </c>
      <c r="J8" s="12"/>
      <c r="K8" s="12"/>
      <c r="L8" s="12">
        <f>6524256.72/1000</f>
        <v>6524.256719999999</v>
      </c>
      <c r="M8" s="12"/>
      <c r="N8" s="12">
        <f>L8/B8*100</f>
        <v>62.589422425654185</v>
      </c>
      <c r="O8" s="12"/>
      <c r="P8" s="12"/>
      <c r="Q8" s="12">
        <f>2448152.03/1000</f>
        <v>2448.1520299999997</v>
      </c>
      <c r="R8" s="12"/>
      <c r="S8" s="12">
        <f>Q8/B8*100</f>
        <v>23.485958346515343</v>
      </c>
      <c r="T8" s="5"/>
      <c r="U8" s="5"/>
      <c r="V8" s="2" t="s">
        <v>12</v>
      </c>
    </row>
    <row r="9" spans="1:22" ht="18" customHeight="1">
      <c r="A9" s="14" t="s">
        <v>96</v>
      </c>
      <c r="B9" s="10">
        <f>176355.25/1000</f>
        <v>176.35525</v>
      </c>
      <c r="C9" s="10"/>
      <c r="D9" s="10">
        <v>100</v>
      </c>
      <c r="E9" s="10"/>
      <c r="F9" s="10"/>
      <c r="G9" s="10">
        <f>180/1000</f>
        <v>0.18</v>
      </c>
      <c r="H9" s="10"/>
      <c r="I9" s="10">
        <f aca="true" t="shared" si="0" ref="I9:I33">G9/B9*100</f>
        <v>0.10206670909995591</v>
      </c>
      <c r="J9" s="10"/>
      <c r="K9" s="10"/>
      <c r="L9" s="10">
        <f>148228.97/1000</f>
        <v>148.22897</v>
      </c>
      <c r="M9" s="10"/>
      <c r="N9" s="10">
        <f aca="true" t="shared" si="1" ref="N9:N33">L9/B9*100</f>
        <v>84.05135089542273</v>
      </c>
      <c r="O9" s="10"/>
      <c r="P9" s="10"/>
      <c r="Q9" s="10">
        <f>27946.29/1000</f>
        <v>27.94629</v>
      </c>
      <c r="R9" s="10"/>
      <c r="S9" s="10">
        <f aca="true" t="shared" si="2" ref="S9:S33">Q9/B9*100</f>
        <v>15.846588065850037</v>
      </c>
      <c r="T9" s="4"/>
      <c r="U9" s="4"/>
      <c r="V9" s="1" t="s">
        <v>13</v>
      </c>
    </row>
    <row r="10" spans="1:22" ht="18" customHeight="1">
      <c r="A10" s="14" t="s">
        <v>97</v>
      </c>
      <c r="B10" s="10">
        <f>898.53/1000</f>
        <v>0.8985299999999999</v>
      </c>
      <c r="C10" s="10"/>
      <c r="D10" s="10">
        <v>100</v>
      </c>
      <c r="E10" s="10"/>
      <c r="F10" s="10"/>
      <c r="G10" s="10" t="s">
        <v>14</v>
      </c>
      <c r="H10" s="10"/>
      <c r="I10" s="10" t="s">
        <v>14</v>
      </c>
      <c r="J10" s="10"/>
      <c r="K10" s="10"/>
      <c r="L10" s="10" t="s">
        <v>14</v>
      </c>
      <c r="M10" s="10"/>
      <c r="N10" s="10" t="s">
        <v>14</v>
      </c>
      <c r="O10" s="10"/>
      <c r="P10" s="10"/>
      <c r="Q10" s="10">
        <f>898.53/1000</f>
        <v>0.8985299999999999</v>
      </c>
      <c r="R10" s="10"/>
      <c r="S10" s="10">
        <f t="shared" si="2"/>
        <v>100</v>
      </c>
      <c r="T10" s="4"/>
      <c r="U10" s="4"/>
      <c r="V10" s="1" t="s">
        <v>16</v>
      </c>
    </row>
    <row r="11" spans="1:22" ht="18" customHeight="1">
      <c r="A11" s="14" t="s">
        <v>98</v>
      </c>
      <c r="B11" s="10">
        <f>155.15/1000</f>
        <v>0.15515</v>
      </c>
      <c r="C11" s="10"/>
      <c r="D11" s="10">
        <v>100</v>
      </c>
      <c r="E11" s="10"/>
      <c r="F11" s="10"/>
      <c r="G11" s="10" t="s">
        <v>14</v>
      </c>
      <c r="H11" s="10"/>
      <c r="I11" s="10" t="s">
        <v>14</v>
      </c>
      <c r="J11" s="10"/>
      <c r="K11" s="10"/>
      <c r="L11" s="10" t="s">
        <v>14</v>
      </c>
      <c r="M11" s="10"/>
      <c r="N11" s="10" t="s">
        <v>14</v>
      </c>
      <c r="O11" s="10"/>
      <c r="P11" s="10"/>
      <c r="Q11" s="10">
        <f>155.15/1000</f>
        <v>0.15515</v>
      </c>
      <c r="R11" s="10"/>
      <c r="S11" s="10">
        <f t="shared" si="2"/>
        <v>100</v>
      </c>
      <c r="T11" s="4"/>
      <c r="U11" s="4"/>
      <c r="V11" s="1" t="s">
        <v>17</v>
      </c>
    </row>
    <row r="12" spans="1:22" ht="18" customHeight="1">
      <c r="A12" s="14" t="s">
        <v>99</v>
      </c>
      <c r="B12" s="10">
        <f>418686.76/1000</f>
        <v>418.68676</v>
      </c>
      <c r="C12" s="10"/>
      <c r="D12" s="10">
        <v>100</v>
      </c>
      <c r="E12" s="10"/>
      <c r="F12" s="10"/>
      <c r="G12" s="10">
        <f>44904.49/1000</f>
        <v>44.904489999999996</v>
      </c>
      <c r="H12" s="10"/>
      <c r="I12" s="10">
        <f t="shared" si="0"/>
        <v>10.725080009695075</v>
      </c>
      <c r="J12" s="10"/>
      <c r="K12" s="10"/>
      <c r="L12" s="10">
        <f>323890/1000</f>
        <v>323.89</v>
      </c>
      <c r="M12" s="10"/>
      <c r="N12" s="10">
        <f t="shared" si="1"/>
        <v>77.35854842890183</v>
      </c>
      <c r="O12" s="10"/>
      <c r="P12" s="10"/>
      <c r="Q12" s="10">
        <f>49892.27/1000</f>
        <v>49.892269999999996</v>
      </c>
      <c r="R12" s="10"/>
      <c r="S12" s="10">
        <f t="shared" si="2"/>
        <v>11.916371561403087</v>
      </c>
      <c r="T12" s="4"/>
      <c r="U12" s="4"/>
      <c r="V12" s="1" t="s">
        <v>18</v>
      </c>
    </row>
    <row r="13" spans="1:22" ht="18" customHeight="1">
      <c r="A13" s="14" t="s">
        <v>100</v>
      </c>
      <c r="B13" s="10">
        <f>41850/1000</f>
        <v>41.85</v>
      </c>
      <c r="C13" s="10"/>
      <c r="D13" s="10">
        <v>100</v>
      </c>
      <c r="E13" s="10"/>
      <c r="F13" s="10"/>
      <c r="G13" s="10" t="s">
        <v>14</v>
      </c>
      <c r="H13" s="10"/>
      <c r="I13" s="10" t="s">
        <v>14</v>
      </c>
      <c r="J13" s="10"/>
      <c r="K13" s="10"/>
      <c r="L13" s="10">
        <f>40700/1000</f>
        <v>40.7</v>
      </c>
      <c r="M13" s="10"/>
      <c r="N13" s="10">
        <f t="shared" si="1"/>
        <v>97.2520908004779</v>
      </c>
      <c r="O13" s="10"/>
      <c r="P13" s="10"/>
      <c r="Q13" s="10">
        <f>1150/1000</f>
        <v>1.15</v>
      </c>
      <c r="R13" s="10"/>
      <c r="S13" s="10">
        <f t="shared" si="2"/>
        <v>2.7479091995221023</v>
      </c>
      <c r="T13" s="4"/>
      <c r="U13" s="4"/>
      <c r="V13" s="1" t="s">
        <v>19</v>
      </c>
    </row>
    <row r="14" spans="1:22" ht="18" customHeight="1">
      <c r="A14" s="14" t="s">
        <v>101</v>
      </c>
      <c r="B14" s="10">
        <f>46475.79/1000</f>
        <v>46.47579</v>
      </c>
      <c r="C14" s="10"/>
      <c r="D14" s="10">
        <v>100</v>
      </c>
      <c r="E14" s="10"/>
      <c r="F14" s="10"/>
      <c r="G14" s="10" t="s">
        <v>14</v>
      </c>
      <c r="H14" s="10"/>
      <c r="I14" s="10" t="s">
        <v>14</v>
      </c>
      <c r="J14" s="10"/>
      <c r="K14" s="10"/>
      <c r="L14" s="10">
        <f>46444.34/1000</f>
        <v>46.44434</v>
      </c>
      <c r="M14" s="10"/>
      <c r="N14" s="10">
        <f t="shared" si="1"/>
        <v>99.93233035952696</v>
      </c>
      <c r="O14" s="10"/>
      <c r="P14" s="10"/>
      <c r="Q14" s="10">
        <f>31.45/1000</f>
        <v>0.03145</v>
      </c>
      <c r="R14" s="10"/>
      <c r="S14" s="10">
        <f t="shared" si="2"/>
        <v>0.06766964047302906</v>
      </c>
      <c r="T14" s="4"/>
      <c r="U14" s="4"/>
      <c r="V14" s="1" t="s">
        <v>20</v>
      </c>
    </row>
    <row r="15" spans="1:22" ht="18" customHeight="1">
      <c r="A15" s="14" t="s">
        <v>102</v>
      </c>
      <c r="B15" s="10" t="s">
        <v>14</v>
      </c>
      <c r="C15" s="10"/>
      <c r="D15" s="10" t="s">
        <v>15</v>
      </c>
      <c r="E15" s="10"/>
      <c r="F15" s="10"/>
      <c r="G15" s="10" t="s">
        <v>14</v>
      </c>
      <c r="H15" s="10"/>
      <c r="I15" s="10" t="s">
        <v>14</v>
      </c>
      <c r="J15" s="10"/>
      <c r="K15" s="10"/>
      <c r="L15" s="10" t="s">
        <v>14</v>
      </c>
      <c r="M15" s="10"/>
      <c r="N15" s="10" t="s">
        <v>14</v>
      </c>
      <c r="O15" s="10"/>
      <c r="P15" s="10"/>
      <c r="Q15" s="10" t="s">
        <v>14</v>
      </c>
      <c r="R15" s="10"/>
      <c r="S15" s="10" t="s">
        <v>14</v>
      </c>
      <c r="T15" s="4"/>
      <c r="U15" s="4"/>
      <c r="V15" s="1" t="s">
        <v>21</v>
      </c>
    </row>
    <row r="16" spans="1:22" ht="18" customHeight="1">
      <c r="A16" s="14" t="s">
        <v>103</v>
      </c>
      <c r="B16" s="10">
        <f>56008/1000</f>
        <v>56.008</v>
      </c>
      <c r="C16" s="10"/>
      <c r="D16" s="10">
        <v>100</v>
      </c>
      <c r="E16" s="10"/>
      <c r="F16" s="10"/>
      <c r="G16" s="10">
        <f>8/1000</f>
        <v>0.008</v>
      </c>
      <c r="H16" s="10"/>
      <c r="I16" s="10">
        <f t="shared" si="0"/>
        <v>0.014283673760891302</v>
      </c>
      <c r="J16" s="10"/>
      <c r="K16" s="10"/>
      <c r="L16" s="10">
        <f>56000/1000</f>
        <v>56</v>
      </c>
      <c r="M16" s="10"/>
      <c r="N16" s="10">
        <f t="shared" si="1"/>
        <v>99.9857163262391</v>
      </c>
      <c r="O16" s="10"/>
      <c r="P16" s="10"/>
      <c r="Q16" s="10" t="s">
        <v>14</v>
      </c>
      <c r="R16" s="10"/>
      <c r="S16" s="10" t="s">
        <v>14</v>
      </c>
      <c r="T16" s="4"/>
      <c r="U16" s="4"/>
      <c r="V16" s="1" t="s">
        <v>22</v>
      </c>
    </row>
    <row r="17" spans="1:22" ht="18" customHeight="1">
      <c r="A17" s="14" t="s">
        <v>104</v>
      </c>
      <c r="B17" s="10">
        <f>1596.9/1000</f>
        <v>1.5969</v>
      </c>
      <c r="C17" s="10"/>
      <c r="D17" s="10">
        <v>100</v>
      </c>
      <c r="E17" s="10"/>
      <c r="F17" s="10"/>
      <c r="G17" s="10">
        <f>500/1000</f>
        <v>0.5</v>
      </c>
      <c r="H17" s="10"/>
      <c r="I17" s="10">
        <f t="shared" si="0"/>
        <v>31.310664412298827</v>
      </c>
      <c r="J17" s="10"/>
      <c r="K17" s="10"/>
      <c r="L17" s="10">
        <f>1012/1000</f>
        <v>1.012</v>
      </c>
      <c r="M17" s="10"/>
      <c r="N17" s="10">
        <f t="shared" si="1"/>
        <v>63.37278477049283</v>
      </c>
      <c r="O17" s="10"/>
      <c r="P17" s="10"/>
      <c r="Q17" s="10">
        <f>84.9/1000</f>
        <v>0.0849</v>
      </c>
      <c r="R17" s="10"/>
      <c r="S17" s="10">
        <f t="shared" si="2"/>
        <v>5.316550817208341</v>
      </c>
      <c r="T17" s="4"/>
      <c r="U17" s="4"/>
      <c r="V17" s="1" t="s">
        <v>23</v>
      </c>
    </row>
    <row r="18" spans="1:22" ht="18" customHeight="1">
      <c r="A18" s="14" t="s">
        <v>105</v>
      </c>
      <c r="B18" s="10">
        <f>2413571.01/1000</f>
        <v>2413.5710099999997</v>
      </c>
      <c r="C18" s="10"/>
      <c r="D18" s="10">
        <v>100</v>
      </c>
      <c r="E18" s="10"/>
      <c r="F18" s="10"/>
      <c r="G18" s="10">
        <f>355493.53/1000</f>
        <v>355.49353</v>
      </c>
      <c r="H18" s="10"/>
      <c r="I18" s="10">
        <f t="shared" si="0"/>
        <v>14.72894431227031</v>
      </c>
      <c r="J18" s="10"/>
      <c r="K18" s="10"/>
      <c r="L18" s="10">
        <f>1311050.47/1000</f>
        <v>1311.05047</v>
      </c>
      <c r="M18" s="10"/>
      <c r="N18" s="10">
        <f t="shared" si="1"/>
        <v>54.31994602885125</v>
      </c>
      <c r="O18" s="10"/>
      <c r="P18" s="10"/>
      <c r="Q18" s="10">
        <f>747027.01/1000</f>
        <v>747.02701</v>
      </c>
      <c r="R18" s="10"/>
      <c r="S18" s="10">
        <f t="shared" si="2"/>
        <v>30.95110965887845</v>
      </c>
      <c r="T18" s="4"/>
      <c r="U18" s="4"/>
      <c r="V18" s="1" t="s">
        <v>24</v>
      </c>
    </row>
    <row r="19" spans="1:22" ht="18" customHeight="1">
      <c r="A19" s="14" t="s">
        <v>106</v>
      </c>
      <c r="B19" s="10">
        <f>20586.65/1000</f>
        <v>20.586650000000002</v>
      </c>
      <c r="C19" s="10"/>
      <c r="D19" s="10">
        <v>100</v>
      </c>
      <c r="E19" s="10"/>
      <c r="F19" s="10"/>
      <c r="G19" s="10">
        <f>240/1000</f>
        <v>0.24</v>
      </c>
      <c r="H19" s="10"/>
      <c r="I19" s="10">
        <f t="shared" si="0"/>
        <v>1.1658040526263378</v>
      </c>
      <c r="J19" s="10"/>
      <c r="K19" s="10"/>
      <c r="L19" s="10">
        <f>3600/1000</f>
        <v>3.6</v>
      </c>
      <c r="M19" s="10"/>
      <c r="N19" s="10">
        <f t="shared" si="1"/>
        <v>17.487060789395066</v>
      </c>
      <c r="O19" s="10"/>
      <c r="P19" s="10"/>
      <c r="Q19" s="10">
        <f>16746.65/1000</f>
        <v>16.746650000000002</v>
      </c>
      <c r="R19" s="10"/>
      <c r="S19" s="10">
        <f t="shared" si="2"/>
        <v>81.3471351579786</v>
      </c>
      <c r="T19" s="4"/>
      <c r="U19" s="4"/>
      <c r="V19" s="1" t="s">
        <v>25</v>
      </c>
    </row>
    <row r="20" spans="1:22" ht="18" customHeight="1">
      <c r="A20" s="14" t="s">
        <v>107</v>
      </c>
      <c r="B20" s="10">
        <f>1304315.05/1000</f>
        <v>1304.3150500000002</v>
      </c>
      <c r="C20" s="10"/>
      <c r="D20" s="10">
        <v>100</v>
      </c>
      <c r="E20" s="10"/>
      <c r="F20" s="10"/>
      <c r="G20" s="10">
        <f>8977.09/1000</f>
        <v>8.97709</v>
      </c>
      <c r="H20" s="10"/>
      <c r="I20" s="10">
        <f t="shared" si="0"/>
        <v>0.6882608615150151</v>
      </c>
      <c r="J20" s="10"/>
      <c r="K20" s="10"/>
      <c r="L20" s="10">
        <f>578009.51/1000</f>
        <v>578.00951</v>
      </c>
      <c r="M20" s="10"/>
      <c r="N20" s="10">
        <f t="shared" si="1"/>
        <v>44.315175999847575</v>
      </c>
      <c r="O20" s="10"/>
      <c r="P20" s="10"/>
      <c r="Q20" s="10">
        <f>717328.45/1000</f>
        <v>717.32845</v>
      </c>
      <c r="R20" s="10"/>
      <c r="S20" s="10">
        <f t="shared" si="2"/>
        <v>54.99656313863739</v>
      </c>
      <c r="T20" s="4"/>
      <c r="U20" s="4"/>
      <c r="V20" s="1" t="s">
        <v>26</v>
      </c>
    </row>
    <row r="21" spans="1:22" ht="18" customHeight="1">
      <c r="A21" s="14" t="s">
        <v>108</v>
      </c>
      <c r="B21" s="10" t="s">
        <v>14</v>
      </c>
      <c r="C21" s="10"/>
      <c r="D21" s="10" t="s">
        <v>15</v>
      </c>
      <c r="E21" s="10"/>
      <c r="F21" s="10"/>
      <c r="G21" s="10" t="s">
        <v>14</v>
      </c>
      <c r="H21" s="10"/>
      <c r="I21" s="10" t="s">
        <v>14</v>
      </c>
      <c r="J21" s="10"/>
      <c r="K21" s="10"/>
      <c r="L21" s="10" t="s">
        <v>14</v>
      </c>
      <c r="M21" s="10"/>
      <c r="N21" s="10" t="s">
        <v>14</v>
      </c>
      <c r="O21" s="10"/>
      <c r="P21" s="10"/>
      <c r="Q21" s="10" t="s">
        <v>14</v>
      </c>
      <c r="R21" s="10"/>
      <c r="S21" s="10" t="s">
        <v>14</v>
      </c>
      <c r="T21" s="4"/>
      <c r="U21" s="4"/>
      <c r="V21" s="1" t="s">
        <v>27</v>
      </c>
    </row>
    <row r="22" spans="1:22" ht="18" customHeight="1">
      <c r="A22" s="14" t="s">
        <v>109</v>
      </c>
      <c r="B22" s="10">
        <f>38070.88/1000</f>
        <v>38.070879999999995</v>
      </c>
      <c r="C22" s="10"/>
      <c r="D22" s="10">
        <v>100</v>
      </c>
      <c r="E22" s="10"/>
      <c r="F22" s="10"/>
      <c r="G22" s="10" t="s">
        <v>14</v>
      </c>
      <c r="H22" s="10"/>
      <c r="I22" s="10" t="s">
        <v>14</v>
      </c>
      <c r="J22" s="10"/>
      <c r="K22" s="10"/>
      <c r="L22" s="10">
        <f>20000/1000</f>
        <v>20</v>
      </c>
      <c r="M22" s="10"/>
      <c r="N22" s="10">
        <f t="shared" si="1"/>
        <v>52.533589977431575</v>
      </c>
      <c r="O22" s="10"/>
      <c r="P22" s="10"/>
      <c r="Q22" s="10">
        <f>18070.88/1000</f>
        <v>18.070880000000002</v>
      </c>
      <c r="R22" s="10"/>
      <c r="S22" s="10">
        <f t="shared" si="2"/>
        <v>47.466410022568446</v>
      </c>
      <c r="T22" s="4"/>
      <c r="U22" s="4"/>
      <c r="V22" s="1" t="s">
        <v>28</v>
      </c>
    </row>
    <row r="23" spans="1:22" ht="18" customHeight="1">
      <c r="A23" s="14" t="s">
        <v>110</v>
      </c>
      <c r="B23" s="10">
        <f>45060.93/1000</f>
        <v>45.06093</v>
      </c>
      <c r="C23" s="10"/>
      <c r="D23" s="10">
        <v>100</v>
      </c>
      <c r="E23" s="10"/>
      <c r="F23" s="10"/>
      <c r="G23" s="10">
        <f>5000/1000</f>
        <v>5</v>
      </c>
      <c r="H23" s="10"/>
      <c r="I23" s="10">
        <f t="shared" si="0"/>
        <v>11.096087009300518</v>
      </c>
      <c r="J23" s="10"/>
      <c r="K23" s="10"/>
      <c r="L23" s="10">
        <f>6409.6/1000</f>
        <v>6.4096</v>
      </c>
      <c r="M23" s="10"/>
      <c r="N23" s="10">
        <f t="shared" si="1"/>
        <v>14.22429585896252</v>
      </c>
      <c r="O23" s="10"/>
      <c r="P23" s="10"/>
      <c r="Q23" s="10">
        <f>33651.33/1000</f>
        <v>33.65133</v>
      </c>
      <c r="R23" s="10"/>
      <c r="S23" s="10">
        <f t="shared" si="2"/>
        <v>74.67961713173696</v>
      </c>
      <c r="T23" s="4"/>
      <c r="U23" s="4"/>
      <c r="V23" s="1" t="s">
        <v>29</v>
      </c>
    </row>
    <row r="24" spans="1:22" ht="18" customHeight="1">
      <c r="A24" s="14" t="s">
        <v>111</v>
      </c>
      <c r="B24" s="10">
        <f>11451.92/1000</f>
        <v>11.45192</v>
      </c>
      <c r="C24" s="10"/>
      <c r="D24" s="10">
        <v>100</v>
      </c>
      <c r="E24" s="10"/>
      <c r="F24" s="10"/>
      <c r="G24" s="10" t="s">
        <v>14</v>
      </c>
      <c r="H24" s="10"/>
      <c r="I24" s="10" t="s">
        <v>14</v>
      </c>
      <c r="J24" s="10"/>
      <c r="K24" s="10"/>
      <c r="L24" s="10">
        <f>11000/1000</f>
        <v>11</v>
      </c>
      <c r="M24" s="10"/>
      <c r="N24" s="10">
        <f t="shared" si="1"/>
        <v>96.05376216389917</v>
      </c>
      <c r="O24" s="10"/>
      <c r="P24" s="10"/>
      <c r="Q24" s="10">
        <f>451.92/1000</f>
        <v>0.45192</v>
      </c>
      <c r="R24" s="10"/>
      <c r="S24" s="10">
        <f t="shared" si="2"/>
        <v>3.946237836100846</v>
      </c>
      <c r="T24" s="4"/>
      <c r="U24" s="4"/>
      <c r="V24" s="1" t="s">
        <v>30</v>
      </c>
    </row>
    <row r="25" spans="1:22" ht="18" customHeight="1">
      <c r="A25" s="14" t="s">
        <v>112</v>
      </c>
      <c r="B25" s="10">
        <f>51936.97/1000</f>
        <v>51.93697</v>
      </c>
      <c r="C25" s="10"/>
      <c r="D25" s="10">
        <v>100</v>
      </c>
      <c r="E25" s="10"/>
      <c r="F25" s="10"/>
      <c r="G25" s="10" t="s">
        <v>14</v>
      </c>
      <c r="H25" s="10"/>
      <c r="I25" s="10" t="s">
        <v>14</v>
      </c>
      <c r="J25" s="10"/>
      <c r="K25" s="10"/>
      <c r="L25" s="10">
        <f>33887.6/1000</f>
        <v>33.8876</v>
      </c>
      <c r="M25" s="10"/>
      <c r="N25" s="10">
        <f t="shared" si="1"/>
        <v>65.2475490965299</v>
      </c>
      <c r="O25" s="10"/>
      <c r="P25" s="10"/>
      <c r="Q25" s="10">
        <f>18049.37/1000</f>
        <v>18.04937</v>
      </c>
      <c r="R25" s="10"/>
      <c r="S25" s="10">
        <f t="shared" si="2"/>
        <v>34.752450903470105</v>
      </c>
      <c r="T25" s="4"/>
      <c r="U25" s="4"/>
      <c r="V25" s="1" t="s">
        <v>31</v>
      </c>
    </row>
    <row r="26" spans="1:22" ht="18" customHeight="1">
      <c r="A26" s="14" t="s">
        <v>113</v>
      </c>
      <c r="B26" s="10">
        <f>170291.87/1000</f>
        <v>170.29187</v>
      </c>
      <c r="C26" s="10"/>
      <c r="D26" s="10">
        <v>100</v>
      </c>
      <c r="E26" s="10"/>
      <c r="F26" s="10"/>
      <c r="G26" s="10">
        <f>9717.16/1000</f>
        <v>9.71716</v>
      </c>
      <c r="H26" s="10"/>
      <c r="I26" s="10">
        <f t="shared" si="0"/>
        <v>5.706179631476242</v>
      </c>
      <c r="J26" s="10"/>
      <c r="K26" s="10"/>
      <c r="L26" s="10">
        <f>158965.79/1000</f>
        <v>158.96579</v>
      </c>
      <c r="M26" s="10"/>
      <c r="N26" s="10">
        <f t="shared" si="1"/>
        <v>93.34901895199108</v>
      </c>
      <c r="O26" s="10"/>
      <c r="P26" s="10"/>
      <c r="Q26" s="10">
        <f>1608.91/1000</f>
        <v>1.60891</v>
      </c>
      <c r="R26" s="10"/>
      <c r="S26" s="10">
        <f t="shared" si="2"/>
        <v>0.9447955442617432</v>
      </c>
      <c r="T26" s="4"/>
      <c r="U26" s="4"/>
      <c r="V26" s="1" t="s">
        <v>32</v>
      </c>
    </row>
    <row r="27" spans="1:22" ht="18" customHeight="1">
      <c r="A27" s="14" t="s">
        <v>114</v>
      </c>
      <c r="B27" s="10">
        <f>87302.19/1000</f>
        <v>87.30219</v>
      </c>
      <c r="C27" s="10"/>
      <c r="D27" s="10">
        <v>100</v>
      </c>
      <c r="E27" s="10"/>
      <c r="F27" s="10"/>
      <c r="G27" s="10">
        <f>16195.58/1000</f>
        <v>16.19558</v>
      </c>
      <c r="H27" s="10"/>
      <c r="I27" s="10">
        <f t="shared" si="0"/>
        <v>18.551172656722585</v>
      </c>
      <c r="J27" s="10"/>
      <c r="K27" s="10"/>
      <c r="L27" s="10">
        <f>70200.19/1000</f>
        <v>70.20019</v>
      </c>
      <c r="M27" s="10"/>
      <c r="N27" s="10">
        <f t="shared" si="1"/>
        <v>80.4105716019266</v>
      </c>
      <c r="O27" s="10"/>
      <c r="P27" s="10"/>
      <c r="Q27" s="10">
        <f>906.42/1000</f>
        <v>0.90642</v>
      </c>
      <c r="R27" s="10"/>
      <c r="S27" s="10">
        <f t="shared" si="2"/>
        <v>1.0382557413508182</v>
      </c>
      <c r="T27" s="4"/>
      <c r="U27" s="4"/>
      <c r="V27" s="1" t="s">
        <v>33</v>
      </c>
    </row>
    <row r="28" spans="1:22" ht="18" customHeight="1">
      <c r="A28" s="14" t="s">
        <v>115</v>
      </c>
      <c r="B28" s="10">
        <f>280834.28/1000</f>
        <v>280.83428000000004</v>
      </c>
      <c r="C28" s="10"/>
      <c r="D28" s="10">
        <v>100</v>
      </c>
      <c r="E28" s="10"/>
      <c r="F28" s="10"/>
      <c r="G28" s="10" t="s">
        <v>14</v>
      </c>
      <c r="H28" s="10"/>
      <c r="I28" s="10" t="s">
        <v>14</v>
      </c>
      <c r="J28" s="10"/>
      <c r="K28" s="10"/>
      <c r="L28" s="10">
        <f>178041.49/1000</f>
        <v>178.04148999999998</v>
      </c>
      <c r="M28" s="10"/>
      <c r="N28" s="10">
        <f t="shared" si="1"/>
        <v>63.39734949736192</v>
      </c>
      <c r="O28" s="10"/>
      <c r="P28" s="10"/>
      <c r="Q28" s="10">
        <f>102792.79/1000</f>
        <v>102.79279</v>
      </c>
      <c r="R28" s="10"/>
      <c r="S28" s="10">
        <f t="shared" si="2"/>
        <v>36.60265050263806</v>
      </c>
      <c r="T28" s="4"/>
      <c r="U28" s="4"/>
      <c r="V28" s="1" t="s">
        <v>34</v>
      </c>
    </row>
    <row r="29" spans="1:22" ht="18" customHeight="1">
      <c r="A29" s="14" t="s">
        <v>116</v>
      </c>
      <c r="B29" s="10">
        <f>288372.03/1000</f>
        <v>288.37203000000005</v>
      </c>
      <c r="C29" s="10"/>
      <c r="D29" s="10">
        <v>100</v>
      </c>
      <c r="E29" s="10"/>
      <c r="F29" s="10"/>
      <c r="G29" s="10">
        <f>54675/1000</f>
        <v>54.675</v>
      </c>
      <c r="H29" s="10"/>
      <c r="I29" s="10">
        <f t="shared" si="0"/>
        <v>18.959883175909948</v>
      </c>
      <c r="J29" s="10"/>
      <c r="K29" s="10"/>
      <c r="L29" s="10">
        <f>211826.21/1000</f>
        <v>211.82621</v>
      </c>
      <c r="M29" s="10"/>
      <c r="N29" s="10">
        <f t="shared" si="1"/>
        <v>73.4558791988252</v>
      </c>
      <c r="O29" s="10"/>
      <c r="P29" s="10"/>
      <c r="Q29" s="10">
        <f>21870.82/1000</f>
        <v>21.87082</v>
      </c>
      <c r="R29" s="10"/>
      <c r="S29" s="10">
        <f t="shared" si="2"/>
        <v>7.584237625264834</v>
      </c>
      <c r="T29" s="4"/>
      <c r="U29" s="4"/>
      <c r="V29" s="1" t="s">
        <v>35</v>
      </c>
    </row>
    <row r="30" spans="1:22" ht="18" customHeight="1">
      <c r="A30" s="14" t="s">
        <v>117</v>
      </c>
      <c r="B30" s="10">
        <f>7310/1000</f>
        <v>7.31</v>
      </c>
      <c r="C30" s="10"/>
      <c r="D30" s="10">
        <v>100</v>
      </c>
      <c r="E30" s="10"/>
      <c r="F30" s="10"/>
      <c r="G30" s="10">
        <f>5040/1000</f>
        <v>5.04</v>
      </c>
      <c r="H30" s="10"/>
      <c r="I30" s="10">
        <f t="shared" si="0"/>
        <v>68.94664842681259</v>
      </c>
      <c r="J30" s="10"/>
      <c r="K30" s="10"/>
      <c r="L30" s="10">
        <f>2270/1000</f>
        <v>2.27</v>
      </c>
      <c r="M30" s="10"/>
      <c r="N30" s="10">
        <f t="shared" si="1"/>
        <v>31.053351573187417</v>
      </c>
      <c r="O30" s="10"/>
      <c r="P30" s="10"/>
      <c r="Q30" s="10" t="s">
        <v>14</v>
      </c>
      <c r="R30" s="10"/>
      <c r="S30" s="10" t="s">
        <v>14</v>
      </c>
      <c r="T30" s="4"/>
      <c r="U30" s="4"/>
      <c r="V30" s="1" t="s">
        <v>36</v>
      </c>
    </row>
    <row r="31" spans="1:22" ht="18" customHeight="1">
      <c r="A31" s="14" t="s">
        <v>118</v>
      </c>
      <c r="B31" s="10" t="s">
        <v>14</v>
      </c>
      <c r="C31" s="10"/>
      <c r="D31" s="10" t="s">
        <v>15</v>
      </c>
      <c r="E31" s="10"/>
      <c r="F31" s="10"/>
      <c r="G31" s="10" t="s">
        <v>14</v>
      </c>
      <c r="H31" s="10"/>
      <c r="I31" s="10" t="s">
        <v>14</v>
      </c>
      <c r="J31" s="10"/>
      <c r="K31" s="10"/>
      <c r="L31" s="10" t="s">
        <v>14</v>
      </c>
      <c r="M31" s="10"/>
      <c r="N31" s="10" t="s">
        <v>14</v>
      </c>
      <c r="O31" s="10"/>
      <c r="P31" s="10"/>
      <c r="Q31" s="10" t="s">
        <v>14</v>
      </c>
      <c r="R31" s="10"/>
      <c r="S31" s="10" t="s">
        <v>14</v>
      </c>
      <c r="T31" s="4"/>
      <c r="U31" s="4"/>
      <c r="V31" s="1" t="s">
        <v>37</v>
      </c>
    </row>
    <row r="32" spans="1:22" ht="18" customHeight="1">
      <c r="A32" s="14" t="s">
        <v>119</v>
      </c>
      <c r="B32" s="10">
        <f>3809390.35/1000</f>
        <v>3809.39035</v>
      </c>
      <c r="C32" s="10"/>
      <c r="D32" s="10">
        <v>100</v>
      </c>
      <c r="E32" s="10"/>
      <c r="F32" s="10"/>
      <c r="G32" s="10">
        <f>64895.66/1000</f>
        <v>64.89566</v>
      </c>
      <c r="H32" s="10"/>
      <c r="I32" s="10">
        <f t="shared" si="0"/>
        <v>1.7035707564072557</v>
      </c>
      <c r="J32" s="10"/>
      <c r="K32" s="10"/>
      <c r="L32" s="10">
        <f>3283682.3/1000</f>
        <v>3283.6823</v>
      </c>
      <c r="M32" s="10"/>
      <c r="N32" s="10">
        <f t="shared" si="1"/>
        <v>86.19968021917207</v>
      </c>
      <c r="O32" s="10"/>
      <c r="P32" s="10"/>
      <c r="Q32" s="10">
        <f>460812.39/1000</f>
        <v>460.81239</v>
      </c>
      <c r="R32" s="10"/>
      <c r="S32" s="10">
        <f t="shared" si="2"/>
        <v>12.096749024420665</v>
      </c>
      <c r="T32" s="4"/>
      <c r="U32" s="4"/>
      <c r="V32" s="1" t="s">
        <v>38</v>
      </c>
    </row>
    <row r="33" spans="1:22" ht="18" customHeight="1">
      <c r="A33" s="14" t="s">
        <v>120</v>
      </c>
      <c r="B33" s="10">
        <f>1153376.15/1000</f>
        <v>1153.3761499999998</v>
      </c>
      <c r="C33" s="10"/>
      <c r="D33" s="10">
        <v>100</v>
      </c>
      <c r="E33" s="10"/>
      <c r="F33" s="10"/>
      <c r="G33" s="10">
        <f>885661.4/1000</f>
        <v>885.6614000000001</v>
      </c>
      <c r="H33" s="10"/>
      <c r="I33" s="10">
        <f t="shared" si="0"/>
        <v>76.78860014575473</v>
      </c>
      <c r="J33" s="10"/>
      <c r="K33" s="10"/>
      <c r="L33" s="10">
        <f>39038.25/1000</f>
        <v>39.03825</v>
      </c>
      <c r="M33" s="10"/>
      <c r="N33" s="10">
        <f t="shared" si="1"/>
        <v>3.38469370985346</v>
      </c>
      <c r="O33" s="10"/>
      <c r="P33" s="10"/>
      <c r="Q33" s="10">
        <f>228676.5/1000</f>
        <v>228.6765</v>
      </c>
      <c r="R33" s="10"/>
      <c r="S33" s="10">
        <f t="shared" si="2"/>
        <v>19.82670614439184</v>
      </c>
      <c r="T33" s="4"/>
      <c r="U33" s="4"/>
      <c r="V33" s="1" t="s">
        <v>39</v>
      </c>
    </row>
    <row r="34" spans="1:22" ht="9.75" customHeight="1">
      <c r="A34" s="7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9"/>
      <c r="U34" s="9"/>
      <c r="V34" s="7"/>
    </row>
    <row r="35" s="2" customFormat="1" ht="21" customHeight="1">
      <c r="A35" s="2" t="s">
        <v>175</v>
      </c>
    </row>
    <row r="36" s="2" customFormat="1" ht="21" customHeight="1">
      <c r="A36" s="2" t="s">
        <v>174</v>
      </c>
    </row>
    <row r="37" spans="7:22" ht="18" customHeight="1">
      <c r="G37" s="7"/>
      <c r="H37" s="7"/>
      <c r="I37" s="7"/>
      <c r="J37" s="7"/>
      <c r="K37" s="7"/>
      <c r="L37" s="7"/>
      <c r="M37" s="7"/>
      <c r="N37" s="7"/>
      <c r="O37" s="7"/>
      <c r="Q37" s="7"/>
      <c r="R37" s="7"/>
      <c r="S37" s="7"/>
      <c r="T37" s="7"/>
      <c r="U37" s="7"/>
      <c r="V37" s="4" t="s">
        <v>176</v>
      </c>
    </row>
    <row r="38" spans="1:22" ht="18" customHeight="1">
      <c r="A38" s="44" t="s">
        <v>93</v>
      </c>
      <c r="B38" s="41" t="s">
        <v>0</v>
      </c>
      <c r="C38" s="41"/>
      <c r="D38" s="41"/>
      <c r="E38" s="41"/>
      <c r="F38" s="15"/>
      <c r="G38" s="43" t="s">
        <v>1</v>
      </c>
      <c r="H38" s="43"/>
      <c r="I38" s="43"/>
      <c r="J38" s="43"/>
      <c r="K38" s="16"/>
      <c r="L38" s="43" t="s">
        <v>2</v>
      </c>
      <c r="M38" s="43"/>
      <c r="N38" s="43"/>
      <c r="O38" s="43"/>
      <c r="P38" s="15"/>
      <c r="Q38" s="43" t="s">
        <v>3</v>
      </c>
      <c r="R38" s="43"/>
      <c r="S38" s="43"/>
      <c r="T38" s="43"/>
      <c r="U38" s="16"/>
      <c r="V38" s="44" t="s">
        <v>94</v>
      </c>
    </row>
    <row r="39" spans="1:22" ht="18" customHeight="1">
      <c r="A39" s="45"/>
      <c r="B39" s="42" t="s">
        <v>4</v>
      </c>
      <c r="C39" s="42"/>
      <c r="D39" s="42"/>
      <c r="E39" s="42"/>
      <c r="F39" s="16"/>
      <c r="G39" s="42" t="s">
        <v>5</v>
      </c>
      <c r="H39" s="42"/>
      <c r="I39" s="42"/>
      <c r="J39" s="42"/>
      <c r="K39" s="16"/>
      <c r="L39" s="42" t="s">
        <v>6</v>
      </c>
      <c r="M39" s="42"/>
      <c r="N39" s="42"/>
      <c r="O39" s="42"/>
      <c r="P39" s="16"/>
      <c r="Q39" s="42" t="s">
        <v>7</v>
      </c>
      <c r="R39" s="42"/>
      <c r="S39" s="42"/>
      <c r="T39" s="42"/>
      <c r="U39" s="16"/>
      <c r="V39" s="45"/>
    </row>
    <row r="40" spans="1:22" ht="18" customHeight="1">
      <c r="A40" s="45"/>
      <c r="B40" s="41" t="s">
        <v>8</v>
      </c>
      <c r="C40" s="41"/>
      <c r="D40" s="41" t="s">
        <v>9</v>
      </c>
      <c r="E40" s="41"/>
      <c r="F40" s="16"/>
      <c r="G40" s="41" t="s">
        <v>8</v>
      </c>
      <c r="H40" s="41"/>
      <c r="I40" s="41" t="s">
        <v>9</v>
      </c>
      <c r="J40" s="41"/>
      <c r="K40" s="16"/>
      <c r="L40" s="41" t="s">
        <v>8</v>
      </c>
      <c r="M40" s="41"/>
      <c r="N40" s="41" t="s">
        <v>9</v>
      </c>
      <c r="O40" s="41"/>
      <c r="P40" s="16"/>
      <c r="Q40" s="41" t="s">
        <v>8</v>
      </c>
      <c r="R40" s="41"/>
      <c r="S40" s="41" t="s">
        <v>9</v>
      </c>
      <c r="T40" s="41"/>
      <c r="U40" s="16"/>
      <c r="V40" s="45"/>
    </row>
    <row r="41" spans="1:22" ht="18" customHeight="1">
      <c r="A41" s="46"/>
      <c r="B41" s="42" t="s">
        <v>10</v>
      </c>
      <c r="C41" s="42"/>
      <c r="D41" s="42" t="s">
        <v>11</v>
      </c>
      <c r="E41" s="42"/>
      <c r="F41" s="7"/>
      <c r="G41" s="42" t="s">
        <v>10</v>
      </c>
      <c r="H41" s="42"/>
      <c r="I41" s="42" t="s">
        <v>11</v>
      </c>
      <c r="J41" s="42"/>
      <c r="K41" s="7"/>
      <c r="L41" s="42" t="s">
        <v>10</v>
      </c>
      <c r="M41" s="42"/>
      <c r="N41" s="42" t="s">
        <v>11</v>
      </c>
      <c r="O41" s="42"/>
      <c r="P41" s="7"/>
      <c r="Q41" s="42" t="s">
        <v>10</v>
      </c>
      <c r="R41" s="42"/>
      <c r="S41" s="42" t="s">
        <v>11</v>
      </c>
      <c r="T41" s="42"/>
      <c r="U41" s="7"/>
      <c r="V41" s="46"/>
    </row>
    <row r="42" spans="1:22" s="2" customFormat="1" ht="21.75">
      <c r="A42" s="13" t="s">
        <v>121</v>
      </c>
      <c r="B42" s="12">
        <f>13087403.85/1000</f>
        <v>13087.403849999999</v>
      </c>
      <c r="C42" s="12"/>
      <c r="D42" s="12">
        <v>100</v>
      </c>
      <c r="E42" s="12"/>
      <c r="F42" s="12"/>
      <c r="G42" s="12">
        <f>1045579.72/1000</f>
        <v>1045.57972</v>
      </c>
      <c r="H42" s="12"/>
      <c r="I42" s="12">
        <f aca="true" t="shared" si="3" ref="I42:I59">G42/B42*100</f>
        <v>7.989206507140834</v>
      </c>
      <c r="J42" s="12"/>
      <c r="K42" s="12"/>
      <c r="L42" s="12">
        <f>10307301.23/1000</f>
        <v>10307.301230000001</v>
      </c>
      <c r="M42" s="12"/>
      <c r="N42" s="12">
        <f aca="true" t="shared" si="4" ref="N42:N59">L42/B42*100</f>
        <v>78.7574170411193</v>
      </c>
      <c r="O42" s="12"/>
      <c r="P42" s="12"/>
      <c r="Q42" s="12">
        <f>1734522.9/1000</f>
        <v>1734.5229</v>
      </c>
      <c r="R42" s="12"/>
      <c r="S42" s="12">
        <f aca="true" t="shared" si="5" ref="S42:S59">Q42/B42*100</f>
        <v>13.253376451739893</v>
      </c>
      <c r="T42" s="5"/>
      <c r="U42" s="5"/>
      <c r="V42" s="2" t="s">
        <v>40</v>
      </c>
    </row>
    <row r="43" spans="1:22" ht="21.75">
      <c r="A43" s="14" t="s">
        <v>122</v>
      </c>
      <c r="B43" s="10">
        <f>7365459.47/1000</f>
        <v>7365.45947</v>
      </c>
      <c r="C43" s="10"/>
      <c r="D43" s="10">
        <v>100</v>
      </c>
      <c r="E43" s="10"/>
      <c r="F43" s="10"/>
      <c r="G43" s="10">
        <f>722289.22/1000</f>
        <v>722.28922</v>
      </c>
      <c r="H43" s="10"/>
      <c r="I43" s="10">
        <f t="shared" si="3"/>
        <v>9.806438049682189</v>
      </c>
      <c r="J43" s="10"/>
      <c r="K43" s="10"/>
      <c r="L43" s="10">
        <f>5962656.46/1000</f>
        <v>5962.65646</v>
      </c>
      <c r="M43" s="10"/>
      <c r="N43" s="10">
        <f t="shared" si="4"/>
        <v>80.95430413114472</v>
      </c>
      <c r="O43" s="10"/>
      <c r="P43" s="10"/>
      <c r="Q43" s="10">
        <f>680513.79/1000</f>
        <v>680.5137900000001</v>
      </c>
      <c r="R43" s="10"/>
      <c r="S43" s="10">
        <f t="shared" si="5"/>
        <v>9.239257819173094</v>
      </c>
      <c r="T43" s="4"/>
      <c r="U43" s="4"/>
      <c r="V43" s="1" t="s">
        <v>41</v>
      </c>
    </row>
    <row r="44" spans="1:22" ht="21.75">
      <c r="A44" s="14" t="s">
        <v>123</v>
      </c>
      <c r="B44" s="10">
        <f>125/1000</f>
        <v>0.125</v>
      </c>
      <c r="C44" s="10"/>
      <c r="D44" s="10">
        <v>100</v>
      </c>
      <c r="E44" s="10"/>
      <c r="F44" s="10"/>
      <c r="G44" s="10" t="s">
        <v>14</v>
      </c>
      <c r="H44" s="10"/>
      <c r="I44" s="10" t="s">
        <v>14</v>
      </c>
      <c r="J44" s="10"/>
      <c r="K44" s="10"/>
      <c r="L44" s="10">
        <f>80/1000</f>
        <v>0.08</v>
      </c>
      <c r="M44" s="10"/>
      <c r="N44" s="10">
        <f t="shared" si="4"/>
        <v>64</v>
      </c>
      <c r="O44" s="10"/>
      <c r="P44" s="10"/>
      <c r="Q44" s="10">
        <f>45/1000</f>
        <v>0.045</v>
      </c>
      <c r="R44" s="10"/>
      <c r="S44" s="10">
        <f t="shared" si="5"/>
        <v>36</v>
      </c>
      <c r="T44" s="4"/>
      <c r="U44" s="4"/>
      <c r="V44" s="1" t="s">
        <v>42</v>
      </c>
    </row>
    <row r="45" spans="1:22" ht="21.75">
      <c r="A45" s="14" t="s">
        <v>124</v>
      </c>
      <c r="B45" s="10">
        <f>460520.35/1000</f>
        <v>460.52034999999995</v>
      </c>
      <c r="C45" s="10"/>
      <c r="D45" s="10">
        <v>100</v>
      </c>
      <c r="E45" s="10"/>
      <c r="F45" s="10"/>
      <c r="G45" s="10">
        <f>2819.46/1000</f>
        <v>2.81946</v>
      </c>
      <c r="H45" s="10"/>
      <c r="I45" s="10">
        <f t="shared" si="3"/>
        <v>0.6122335310480851</v>
      </c>
      <c r="J45" s="10"/>
      <c r="K45" s="10"/>
      <c r="L45" s="10">
        <f>298680.6/1000</f>
        <v>298.68059999999997</v>
      </c>
      <c r="M45" s="10"/>
      <c r="N45" s="10">
        <f t="shared" si="4"/>
        <v>64.8571990358298</v>
      </c>
      <c r="O45" s="10"/>
      <c r="P45" s="10"/>
      <c r="Q45" s="10">
        <f>159020.29/1000</f>
        <v>159.02029000000002</v>
      </c>
      <c r="R45" s="10"/>
      <c r="S45" s="10">
        <f t="shared" si="5"/>
        <v>34.53056743312213</v>
      </c>
      <c r="T45" s="4"/>
      <c r="U45" s="4"/>
      <c r="V45" s="1" t="s">
        <v>43</v>
      </c>
    </row>
    <row r="46" spans="1:22" ht="21.75">
      <c r="A46" s="14" t="s">
        <v>125</v>
      </c>
      <c r="B46" s="10">
        <f>190941.65/1000</f>
        <v>190.94164999999998</v>
      </c>
      <c r="C46" s="10"/>
      <c r="D46" s="10">
        <v>100</v>
      </c>
      <c r="E46" s="10"/>
      <c r="F46" s="10"/>
      <c r="G46" s="10">
        <f>139265.39/1000</f>
        <v>139.26539000000002</v>
      </c>
      <c r="H46" s="10"/>
      <c r="I46" s="10">
        <f t="shared" si="3"/>
        <v>72.93609854109884</v>
      </c>
      <c r="J46" s="10"/>
      <c r="K46" s="10"/>
      <c r="L46" s="10">
        <f>51676.26/1000</f>
        <v>51.67626</v>
      </c>
      <c r="M46" s="10"/>
      <c r="N46" s="10">
        <f t="shared" si="4"/>
        <v>27.063901458901192</v>
      </c>
      <c r="O46" s="10"/>
      <c r="P46" s="10"/>
      <c r="Q46" s="10" t="s">
        <v>14</v>
      </c>
      <c r="R46" s="10"/>
      <c r="S46" s="10" t="s">
        <v>14</v>
      </c>
      <c r="T46" s="4"/>
      <c r="U46" s="4"/>
      <c r="V46" s="1" t="s">
        <v>44</v>
      </c>
    </row>
    <row r="47" spans="1:22" ht="21.75">
      <c r="A47" s="14" t="s">
        <v>126</v>
      </c>
      <c r="B47" s="10">
        <f>103965.3/1000</f>
        <v>103.9653</v>
      </c>
      <c r="C47" s="10"/>
      <c r="D47" s="10">
        <v>100</v>
      </c>
      <c r="E47" s="10"/>
      <c r="F47" s="10"/>
      <c r="G47" s="10">
        <f>35643.47/1000</f>
        <v>35.64347</v>
      </c>
      <c r="H47" s="10"/>
      <c r="I47" s="10">
        <f t="shared" si="3"/>
        <v>34.284006298255285</v>
      </c>
      <c r="J47" s="10"/>
      <c r="K47" s="10"/>
      <c r="L47" s="10">
        <f>68204.25/1000</f>
        <v>68.20425</v>
      </c>
      <c r="M47" s="10"/>
      <c r="N47" s="10">
        <f t="shared" si="4"/>
        <v>65.60289827471281</v>
      </c>
      <c r="O47" s="10"/>
      <c r="P47" s="10"/>
      <c r="Q47" s="10">
        <f>117.57/1000</f>
        <v>0.11757</v>
      </c>
      <c r="R47" s="10"/>
      <c r="S47" s="10">
        <f t="shared" si="5"/>
        <v>0.11308580843800767</v>
      </c>
      <c r="T47" s="4"/>
      <c r="U47" s="4"/>
      <c r="V47" s="1" t="s">
        <v>45</v>
      </c>
    </row>
    <row r="48" spans="1:22" ht="21.75">
      <c r="A48" s="14" t="s">
        <v>127</v>
      </c>
      <c r="B48" s="10">
        <f>66723.86/1000</f>
        <v>66.72386</v>
      </c>
      <c r="C48" s="10"/>
      <c r="D48" s="10">
        <v>100</v>
      </c>
      <c r="E48" s="10"/>
      <c r="F48" s="10"/>
      <c r="G48" s="10">
        <f>70.59/1000</f>
        <v>0.07059</v>
      </c>
      <c r="H48" s="10"/>
      <c r="I48" s="10">
        <f t="shared" si="3"/>
        <v>0.10579423912225701</v>
      </c>
      <c r="J48" s="10"/>
      <c r="K48" s="10"/>
      <c r="L48" s="10">
        <f>66380/1000</f>
        <v>66.38</v>
      </c>
      <c r="M48" s="10"/>
      <c r="N48" s="10">
        <f t="shared" si="4"/>
        <v>99.48465211694885</v>
      </c>
      <c r="O48" s="10"/>
      <c r="P48" s="10"/>
      <c r="Q48" s="10">
        <f>273.27/1000</f>
        <v>0.27326999999999996</v>
      </c>
      <c r="R48" s="10"/>
      <c r="S48" s="10">
        <f t="shared" si="5"/>
        <v>0.40955364392887333</v>
      </c>
      <c r="T48" s="4"/>
      <c r="U48" s="4"/>
      <c r="V48" s="1" t="s">
        <v>46</v>
      </c>
    </row>
    <row r="49" spans="1:22" ht="21.75">
      <c r="A49" s="14" t="s">
        <v>128</v>
      </c>
      <c r="B49" s="10">
        <f>11340/1000</f>
        <v>11.34</v>
      </c>
      <c r="C49" s="10"/>
      <c r="D49" s="10">
        <v>100</v>
      </c>
      <c r="E49" s="10"/>
      <c r="F49" s="10"/>
      <c r="G49" s="10">
        <f>40/1000</f>
        <v>0.04</v>
      </c>
      <c r="H49" s="10"/>
      <c r="I49" s="10">
        <f t="shared" si="3"/>
        <v>0.35273368606701944</v>
      </c>
      <c r="J49" s="10"/>
      <c r="K49" s="10"/>
      <c r="L49" s="10">
        <f>11300/1000</f>
        <v>11.3</v>
      </c>
      <c r="M49" s="10"/>
      <c r="N49" s="10">
        <f t="shared" si="4"/>
        <v>99.64726631393299</v>
      </c>
      <c r="O49" s="10"/>
      <c r="P49" s="10"/>
      <c r="Q49" s="10" t="s">
        <v>14</v>
      </c>
      <c r="R49" s="10"/>
      <c r="S49" s="10" t="s">
        <v>14</v>
      </c>
      <c r="T49" s="4"/>
      <c r="U49" s="4"/>
      <c r="V49" s="1" t="s">
        <v>47</v>
      </c>
    </row>
    <row r="50" spans="1:22" ht="21.75">
      <c r="A50" s="14" t="s">
        <v>129</v>
      </c>
      <c r="B50" s="10">
        <f>608901.23/1000</f>
        <v>608.9012299999999</v>
      </c>
      <c r="C50" s="10"/>
      <c r="D50" s="10">
        <v>100</v>
      </c>
      <c r="E50" s="10"/>
      <c r="F50" s="10"/>
      <c r="G50" s="10">
        <f>91572.64/1000</f>
        <v>91.57263999999999</v>
      </c>
      <c r="H50" s="10"/>
      <c r="I50" s="10">
        <f t="shared" si="3"/>
        <v>15.038997375649906</v>
      </c>
      <c r="J50" s="10"/>
      <c r="K50" s="10"/>
      <c r="L50" s="10">
        <f>292084.54/1000</f>
        <v>292.08454</v>
      </c>
      <c r="M50" s="10"/>
      <c r="N50" s="10">
        <f t="shared" si="4"/>
        <v>47.969116436174716</v>
      </c>
      <c r="O50" s="10"/>
      <c r="P50" s="10"/>
      <c r="Q50" s="10">
        <f>225244.04/1000</f>
        <v>225.24404</v>
      </c>
      <c r="R50" s="10"/>
      <c r="S50" s="10">
        <f t="shared" si="5"/>
        <v>36.99188454587291</v>
      </c>
      <c r="T50" s="4"/>
      <c r="U50" s="4"/>
      <c r="V50" s="1" t="s">
        <v>48</v>
      </c>
    </row>
    <row r="51" spans="1:22" ht="21.75">
      <c r="A51" s="14" t="s">
        <v>130</v>
      </c>
      <c r="B51" s="10">
        <f>461526.17/1000</f>
        <v>461.52617</v>
      </c>
      <c r="C51" s="10"/>
      <c r="D51" s="10">
        <v>100</v>
      </c>
      <c r="E51" s="10"/>
      <c r="F51" s="10"/>
      <c r="G51" s="10">
        <f>2180.5/1000</f>
        <v>2.1805</v>
      </c>
      <c r="H51" s="10"/>
      <c r="I51" s="10">
        <f t="shared" si="3"/>
        <v>0.4724542489107389</v>
      </c>
      <c r="J51" s="10"/>
      <c r="K51" s="10"/>
      <c r="L51" s="10">
        <f>429790.58/1000</f>
        <v>429.79058000000003</v>
      </c>
      <c r="M51" s="10"/>
      <c r="N51" s="10">
        <f t="shared" si="4"/>
        <v>93.12377237459796</v>
      </c>
      <c r="O51" s="10"/>
      <c r="P51" s="10"/>
      <c r="Q51" s="10">
        <f>29555.09/1000</f>
        <v>29.55509</v>
      </c>
      <c r="R51" s="10"/>
      <c r="S51" s="10">
        <f t="shared" si="5"/>
        <v>6.403773376491305</v>
      </c>
      <c r="T51" s="4"/>
      <c r="U51" s="4"/>
      <c r="V51" s="1" t="s">
        <v>49</v>
      </c>
    </row>
    <row r="52" spans="1:22" ht="21.75">
      <c r="A52" s="14" t="s">
        <v>131</v>
      </c>
      <c r="B52" s="10">
        <f>798626.43/1000</f>
        <v>798.62643</v>
      </c>
      <c r="C52" s="10"/>
      <c r="D52" s="10">
        <v>100</v>
      </c>
      <c r="E52" s="10"/>
      <c r="F52" s="10"/>
      <c r="G52" s="10">
        <f>233.86/1000</f>
        <v>0.23386</v>
      </c>
      <c r="H52" s="10"/>
      <c r="I52" s="10">
        <f t="shared" si="3"/>
        <v>0.029282777430744433</v>
      </c>
      <c r="J52" s="10"/>
      <c r="K52" s="10"/>
      <c r="L52" s="10">
        <f>789140.34/1000</f>
        <v>789.1403399999999</v>
      </c>
      <c r="M52" s="10"/>
      <c r="N52" s="10">
        <f t="shared" si="4"/>
        <v>98.81219934081068</v>
      </c>
      <c r="O52" s="10"/>
      <c r="P52" s="10"/>
      <c r="Q52" s="10">
        <f>9252.22/1000</f>
        <v>9.25222</v>
      </c>
      <c r="R52" s="10"/>
      <c r="S52" s="10">
        <f t="shared" si="5"/>
        <v>1.1585166296086644</v>
      </c>
      <c r="T52" s="4"/>
      <c r="U52" s="4"/>
      <c r="V52" s="1" t="s">
        <v>50</v>
      </c>
    </row>
    <row r="53" spans="1:22" ht="21.75">
      <c r="A53" s="14" t="s">
        <v>132</v>
      </c>
      <c r="B53" s="10">
        <f>1800/1000</f>
        <v>1.8</v>
      </c>
      <c r="C53" s="10"/>
      <c r="D53" s="10">
        <v>100</v>
      </c>
      <c r="E53" s="10"/>
      <c r="F53" s="10"/>
      <c r="G53" s="10" t="s">
        <v>14</v>
      </c>
      <c r="H53" s="10"/>
      <c r="I53" s="10" t="s">
        <v>14</v>
      </c>
      <c r="J53" s="10"/>
      <c r="K53" s="10"/>
      <c r="L53" s="10">
        <f>1800/1000</f>
        <v>1.8</v>
      </c>
      <c r="M53" s="10"/>
      <c r="N53" s="10">
        <f t="shared" si="4"/>
        <v>100</v>
      </c>
      <c r="O53" s="10"/>
      <c r="P53" s="10"/>
      <c r="Q53" s="10" t="s">
        <v>14</v>
      </c>
      <c r="R53" s="10"/>
      <c r="S53" s="10" t="s">
        <v>14</v>
      </c>
      <c r="T53" s="4"/>
      <c r="U53" s="4"/>
      <c r="V53" s="1" t="s">
        <v>51</v>
      </c>
    </row>
    <row r="54" spans="1:22" ht="21.75">
      <c r="A54" s="14" t="s">
        <v>133</v>
      </c>
      <c r="B54" s="10">
        <f>151703.84/1000</f>
        <v>151.70383999999999</v>
      </c>
      <c r="C54" s="10"/>
      <c r="D54" s="10">
        <v>100</v>
      </c>
      <c r="E54" s="10"/>
      <c r="F54" s="10"/>
      <c r="G54" s="10">
        <f>2633.96/1000</f>
        <v>2.63396</v>
      </c>
      <c r="H54" s="10"/>
      <c r="I54" s="10">
        <f t="shared" si="3"/>
        <v>1.73625136977416</v>
      </c>
      <c r="J54" s="10"/>
      <c r="K54" s="10"/>
      <c r="L54" s="10">
        <f>95170.89/1000</f>
        <v>95.17089</v>
      </c>
      <c r="M54" s="10"/>
      <c r="N54" s="10">
        <f t="shared" si="4"/>
        <v>62.73466116612474</v>
      </c>
      <c r="O54" s="10"/>
      <c r="P54" s="10"/>
      <c r="Q54" s="10">
        <f>53899/1000</f>
        <v>53.899</v>
      </c>
      <c r="R54" s="10"/>
      <c r="S54" s="10">
        <f t="shared" si="5"/>
        <v>35.52909405589206</v>
      </c>
      <c r="T54" s="4"/>
      <c r="U54" s="4"/>
      <c r="V54" s="1" t="s">
        <v>52</v>
      </c>
    </row>
    <row r="55" spans="1:22" ht="21.75">
      <c r="A55" s="14" t="s">
        <v>134</v>
      </c>
      <c r="B55" s="10">
        <f>157588.18/1000</f>
        <v>157.58818</v>
      </c>
      <c r="C55" s="10"/>
      <c r="D55" s="10">
        <v>100</v>
      </c>
      <c r="E55" s="10"/>
      <c r="F55" s="10"/>
      <c r="G55" s="10">
        <f>600.27/1000</f>
        <v>0.60027</v>
      </c>
      <c r="H55" s="10"/>
      <c r="I55" s="10">
        <f t="shared" si="3"/>
        <v>0.38091054798653046</v>
      </c>
      <c r="J55" s="10"/>
      <c r="K55" s="10"/>
      <c r="L55" s="10">
        <f>133205.84/1000</f>
        <v>133.20584</v>
      </c>
      <c r="M55" s="10"/>
      <c r="N55" s="10">
        <f t="shared" si="4"/>
        <v>84.52781166709332</v>
      </c>
      <c r="O55" s="10"/>
      <c r="P55" s="10"/>
      <c r="Q55" s="10">
        <f>23782.07/1000</f>
        <v>23.78207</v>
      </c>
      <c r="R55" s="10"/>
      <c r="S55" s="10">
        <f t="shared" si="5"/>
        <v>15.091277784920166</v>
      </c>
      <c r="T55" s="4"/>
      <c r="U55" s="4"/>
      <c r="V55" s="1" t="s">
        <v>53</v>
      </c>
    </row>
    <row r="56" spans="1:22" ht="21.75">
      <c r="A56" s="14" t="s">
        <v>135</v>
      </c>
      <c r="B56" s="10">
        <f>449233.55/1000</f>
        <v>449.23355</v>
      </c>
      <c r="C56" s="10"/>
      <c r="D56" s="10">
        <v>100</v>
      </c>
      <c r="E56" s="10"/>
      <c r="F56" s="10"/>
      <c r="G56" s="10">
        <f>5557.13/1000</f>
        <v>5.55713</v>
      </c>
      <c r="H56" s="10"/>
      <c r="I56" s="10">
        <f t="shared" si="3"/>
        <v>1.2370247057460424</v>
      </c>
      <c r="J56" s="10"/>
      <c r="K56" s="10"/>
      <c r="L56" s="10">
        <f>166780.89/1000</f>
        <v>166.78089000000003</v>
      </c>
      <c r="M56" s="10"/>
      <c r="N56" s="10">
        <f t="shared" si="4"/>
        <v>37.125653237608816</v>
      </c>
      <c r="O56" s="10"/>
      <c r="P56" s="10"/>
      <c r="Q56" s="10">
        <f>276895.52/1000</f>
        <v>276.89552000000003</v>
      </c>
      <c r="R56" s="10"/>
      <c r="S56" s="10">
        <f t="shared" si="5"/>
        <v>61.63731983063154</v>
      </c>
      <c r="T56" s="4"/>
      <c r="U56" s="4"/>
      <c r="V56" s="1" t="s">
        <v>54</v>
      </c>
    </row>
    <row r="57" spans="1:22" ht="21.75">
      <c r="A57" s="14" t="s">
        <v>136</v>
      </c>
      <c r="B57" s="10">
        <f>1772490.02/1000</f>
        <v>1772.49002</v>
      </c>
      <c r="C57" s="10"/>
      <c r="D57" s="10">
        <v>100</v>
      </c>
      <c r="E57" s="10"/>
      <c r="F57" s="10"/>
      <c r="G57" s="10">
        <f>14090.85/1000</f>
        <v>14.09085</v>
      </c>
      <c r="H57" s="10"/>
      <c r="I57" s="10">
        <f t="shared" si="3"/>
        <v>0.7949748568965144</v>
      </c>
      <c r="J57" s="10"/>
      <c r="K57" s="10"/>
      <c r="L57" s="10">
        <f>1691050.58/1000</f>
        <v>1691.05058</v>
      </c>
      <c r="M57" s="10"/>
      <c r="N57" s="10">
        <f t="shared" si="4"/>
        <v>95.40536538535773</v>
      </c>
      <c r="O57" s="10"/>
      <c r="P57" s="10"/>
      <c r="Q57" s="10">
        <f>67348.59/1000</f>
        <v>67.34859</v>
      </c>
      <c r="R57" s="10"/>
      <c r="S57" s="10">
        <f t="shared" si="5"/>
        <v>3.799659757745773</v>
      </c>
      <c r="T57" s="4"/>
      <c r="U57" s="4"/>
      <c r="V57" s="1" t="s">
        <v>55</v>
      </c>
    </row>
    <row r="58" spans="1:22" ht="21.75">
      <c r="A58" s="14" t="s">
        <v>137</v>
      </c>
      <c r="B58" s="10">
        <f>244173/1000</f>
        <v>244.173</v>
      </c>
      <c r="C58" s="10"/>
      <c r="D58" s="10">
        <v>100</v>
      </c>
      <c r="E58" s="10"/>
      <c r="F58" s="10"/>
      <c r="G58" s="10">
        <f>11372/1000</f>
        <v>11.372</v>
      </c>
      <c r="H58" s="10"/>
      <c r="I58" s="10">
        <f t="shared" si="3"/>
        <v>4.657353597654122</v>
      </c>
      <c r="J58" s="10"/>
      <c r="K58" s="10"/>
      <c r="L58" s="10">
        <f>95300/1000</f>
        <v>95.3</v>
      </c>
      <c r="M58" s="10"/>
      <c r="N58" s="10">
        <f t="shared" si="4"/>
        <v>39.029704348965694</v>
      </c>
      <c r="O58" s="10"/>
      <c r="P58" s="10"/>
      <c r="Q58" s="10">
        <f>137501/1000</f>
        <v>137.501</v>
      </c>
      <c r="R58" s="10"/>
      <c r="S58" s="10">
        <f t="shared" si="5"/>
        <v>56.31294205338019</v>
      </c>
      <c r="T58" s="4"/>
      <c r="U58" s="4"/>
      <c r="V58" s="1" t="s">
        <v>56</v>
      </c>
    </row>
    <row r="59" spans="1:22" ht="21.75">
      <c r="A59" s="14" t="s">
        <v>138</v>
      </c>
      <c r="B59" s="10">
        <f>242285.82/1000</f>
        <v>242.28582</v>
      </c>
      <c r="C59" s="10"/>
      <c r="D59" s="10">
        <v>100</v>
      </c>
      <c r="E59" s="10"/>
      <c r="F59" s="10"/>
      <c r="G59" s="10">
        <f>17210.38/1000</f>
        <v>17.21038</v>
      </c>
      <c r="H59" s="10"/>
      <c r="I59" s="10">
        <f t="shared" si="3"/>
        <v>7.103337702553125</v>
      </c>
      <c r="J59" s="10"/>
      <c r="K59" s="10"/>
      <c r="L59" s="10">
        <f>154000/1000</f>
        <v>154</v>
      </c>
      <c r="M59" s="10"/>
      <c r="N59" s="10">
        <f t="shared" si="4"/>
        <v>63.561293021605636</v>
      </c>
      <c r="O59" s="10"/>
      <c r="P59" s="10"/>
      <c r="Q59" s="10">
        <f>71075.44/1000</f>
        <v>71.07544</v>
      </c>
      <c r="R59" s="10"/>
      <c r="S59" s="10">
        <f t="shared" si="5"/>
        <v>29.335369275841234</v>
      </c>
      <c r="T59" s="4"/>
      <c r="U59" s="4"/>
      <c r="V59" s="1" t="s">
        <v>57</v>
      </c>
    </row>
    <row r="60" spans="1:22" ht="9.75" customHeight="1">
      <c r="A60" s="7"/>
      <c r="B60" s="8"/>
      <c r="C60" s="8"/>
      <c r="D60" s="9"/>
      <c r="E60" s="9"/>
      <c r="F60" s="9"/>
      <c r="G60" s="8"/>
      <c r="H60" s="8"/>
      <c r="I60" s="9"/>
      <c r="J60" s="9"/>
      <c r="K60" s="9"/>
      <c r="L60" s="8"/>
      <c r="M60" s="8"/>
      <c r="N60" s="9"/>
      <c r="O60" s="9"/>
      <c r="P60" s="9"/>
      <c r="Q60" s="8"/>
      <c r="R60" s="8"/>
      <c r="S60" s="9"/>
      <c r="T60" s="9"/>
      <c r="U60" s="9"/>
      <c r="V60" s="7"/>
    </row>
    <row r="61" spans="2:21" ht="21">
      <c r="B61" s="3"/>
      <c r="C61" s="3"/>
      <c r="D61" s="4"/>
      <c r="E61" s="4"/>
      <c r="F61" s="4"/>
      <c r="G61" s="3"/>
      <c r="H61" s="3"/>
      <c r="I61" s="4"/>
      <c r="J61" s="4"/>
      <c r="K61" s="4"/>
      <c r="L61" s="3"/>
      <c r="M61" s="3"/>
      <c r="N61" s="4"/>
      <c r="O61" s="4"/>
      <c r="P61" s="4"/>
      <c r="Q61" s="3"/>
      <c r="R61" s="3"/>
      <c r="S61" s="4"/>
      <c r="T61" s="4"/>
      <c r="U61" s="4"/>
    </row>
    <row r="62" spans="2:21" ht="21">
      <c r="B62" s="3"/>
      <c r="C62" s="3"/>
      <c r="D62" s="4"/>
      <c r="E62" s="4"/>
      <c r="F62" s="4"/>
      <c r="G62" s="3"/>
      <c r="H62" s="3"/>
      <c r="I62" s="4"/>
      <c r="J62" s="4"/>
      <c r="K62" s="4"/>
      <c r="L62" s="3"/>
      <c r="M62" s="3"/>
      <c r="N62" s="4"/>
      <c r="O62" s="4"/>
      <c r="P62" s="4"/>
      <c r="Q62" s="3"/>
      <c r="R62" s="3"/>
      <c r="S62" s="4"/>
      <c r="T62" s="4"/>
      <c r="U62" s="4"/>
    </row>
    <row r="63" spans="2:21" ht="21">
      <c r="B63" s="3"/>
      <c r="C63" s="3"/>
      <c r="D63" s="4"/>
      <c r="E63" s="4"/>
      <c r="F63" s="4"/>
      <c r="G63" s="3"/>
      <c r="H63" s="3"/>
      <c r="I63" s="4"/>
      <c r="J63" s="4"/>
      <c r="K63" s="4"/>
      <c r="L63" s="3"/>
      <c r="M63" s="3"/>
      <c r="N63" s="4"/>
      <c r="O63" s="4"/>
      <c r="P63" s="4"/>
      <c r="Q63" s="3"/>
      <c r="R63" s="3"/>
      <c r="S63" s="4"/>
      <c r="T63" s="4"/>
      <c r="U63" s="4"/>
    </row>
    <row r="64" s="2" customFormat="1" ht="21" customHeight="1">
      <c r="A64" s="2" t="s">
        <v>175</v>
      </c>
    </row>
    <row r="65" s="2" customFormat="1" ht="21" customHeight="1">
      <c r="A65" s="2" t="s">
        <v>174</v>
      </c>
    </row>
    <row r="66" spans="7:22" s="2" customFormat="1" ht="18" customHeight="1">
      <c r="G66" s="6"/>
      <c r="H66" s="6"/>
      <c r="I66" s="6"/>
      <c r="J66" s="6"/>
      <c r="K66" s="6"/>
      <c r="L66" s="6"/>
      <c r="M66" s="6"/>
      <c r="N66" s="6"/>
      <c r="O66" s="6"/>
      <c r="Q66" s="6"/>
      <c r="R66" s="6"/>
      <c r="S66" s="6"/>
      <c r="T66" s="6"/>
      <c r="U66" s="6"/>
      <c r="V66" s="4" t="s">
        <v>176</v>
      </c>
    </row>
    <row r="67" spans="1:22" ht="18" customHeight="1">
      <c r="A67" s="44" t="s">
        <v>93</v>
      </c>
      <c r="B67" s="41" t="s">
        <v>0</v>
      </c>
      <c r="C67" s="41"/>
      <c r="D67" s="41"/>
      <c r="E67" s="41"/>
      <c r="F67" s="15"/>
      <c r="G67" s="43" t="s">
        <v>1</v>
      </c>
      <c r="H67" s="43"/>
      <c r="I67" s="43"/>
      <c r="J67" s="43"/>
      <c r="K67" s="16"/>
      <c r="L67" s="43" t="s">
        <v>2</v>
      </c>
      <c r="M67" s="43"/>
      <c r="N67" s="43"/>
      <c r="O67" s="43"/>
      <c r="P67" s="15"/>
      <c r="Q67" s="43" t="s">
        <v>3</v>
      </c>
      <c r="R67" s="43"/>
      <c r="S67" s="43"/>
      <c r="T67" s="43"/>
      <c r="U67" s="16"/>
      <c r="V67" s="44" t="s">
        <v>94</v>
      </c>
    </row>
    <row r="68" spans="1:22" ht="18" customHeight="1">
      <c r="A68" s="45"/>
      <c r="B68" s="42" t="s">
        <v>4</v>
      </c>
      <c r="C68" s="42"/>
      <c r="D68" s="42"/>
      <c r="E68" s="42"/>
      <c r="F68" s="16"/>
      <c r="G68" s="42" t="s">
        <v>5</v>
      </c>
      <c r="H68" s="42"/>
      <c r="I68" s="42"/>
      <c r="J68" s="42"/>
      <c r="K68" s="16"/>
      <c r="L68" s="42" t="s">
        <v>6</v>
      </c>
      <c r="M68" s="42"/>
      <c r="N68" s="42"/>
      <c r="O68" s="42"/>
      <c r="P68" s="16"/>
      <c r="Q68" s="42" t="s">
        <v>7</v>
      </c>
      <c r="R68" s="42"/>
      <c r="S68" s="42"/>
      <c r="T68" s="42"/>
      <c r="U68" s="16"/>
      <c r="V68" s="45"/>
    </row>
    <row r="69" spans="1:22" ht="18" customHeight="1">
      <c r="A69" s="45"/>
      <c r="B69" s="41" t="s">
        <v>8</v>
      </c>
      <c r="C69" s="41"/>
      <c r="D69" s="41" t="s">
        <v>9</v>
      </c>
      <c r="E69" s="41"/>
      <c r="F69" s="16"/>
      <c r="G69" s="41" t="s">
        <v>8</v>
      </c>
      <c r="H69" s="41"/>
      <c r="I69" s="41" t="s">
        <v>9</v>
      </c>
      <c r="J69" s="41"/>
      <c r="K69" s="16"/>
      <c r="L69" s="41" t="s">
        <v>8</v>
      </c>
      <c r="M69" s="41"/>
      <c r="N69" s="41" t="s">
        <v>9</v>
      </c>
      <c r="O69" s="41"/>
      <c r="P69" s="16"/>
      <c r="Q69" s="41" t="s">
        <v>8</v>
      </c>
      <c r="R69" s="41"/>
      <c r="S69" s="41" t="s">
        <v>9</v>
      </c>
      <c r="T69" s="41"/>
      <c r="U69" s="16"/>
      <c r="V69" s="45"/>
    </row>
    <row r="70" spans="1:22" ht="18" customHeight="1">
      <c r="A70" s="46"/>
      <c r="B70" s="42" t="s">
        <v>10</v>
      </c>
      <c r="C70" s="42"/>
      <c r="D70" s="42" t="s">
        <v>11</v>
      </c>
      <c r="E70" s="42"/>
      <c r="F70" s="7"/>
      <c r="G70" s="42" t="s">
        <v>10</v>
      </c>
      <c r="H70" s="42"/>
      <c r="I70" s="42" t="s">
        <v>11</v>
      </c>
      <c r="J70" s="42"/>
      <c r="K70" s="7"/>
      <c r="L70" s="42" t="s">
        <v>10</v>
      </c>
      <c r="M70" s="42"/>
      <c r="N70" s="42" t="s">
        <v>11</v>
      </c>
      <c r="O70" s="42"/>
      <c r="P70" s="7"/>
      <c r="Q70" s="42" t="s">
        <v>10</v>
      </c>
      <c r="R70" s="42"/>
      <c r="S70" s="42" t="s">
        <v>11</v>
      </c>
      <c r="T70" s="42"/>
      <c r="U70" s="7"/>
      <c r="V70" s="46"/>
    </row>
    <row r="71" spans="1:22" s="2" customFormat="1" ht="21.75">
      <c r="A71" s="13" t="s">
        <v>139</v>
      </c>
      <c r="B71" s="12">
        <f>3477874.36/1000</f>
        <v>3477.87436</v>
      </c>
      <c r="C71" s="12"/>
      <c r="D71" s="12">
        <v>100</v>
      </c>
      <c r="E71" s="12"/>
      <c r="F71" s="12"/>
      <c r="G71" s="12">
        <f>226037.89/1000</f>
        <v>226.03789</v>
      </c>
      <c r="H71" s="12"/>
      <c r="I71" s="12">
        <f aca="true" t="shared" si="6" ref="I71:I90">G71/B71*100</f>
        <v>6.499311550748486</v>
      </c>
      <c r="J71" s="12"/>
      <c r="K71" s="12"/>
      <c r="L71" s="12">
        <f>2682949.62/1000</f>
        <v>2682.9496200000003</v>
      </c>
      <c r="M71" s="12"/>
      <c r="N71" s="12">
        <f aca="true" t="shared" si="7" ref="N71:N90">L71/B71*100</f>
        <v>77.14337386241866</v>
      </c>
      <c r="O71" s="12"/>
      <c r="P71" s="12"/>
      <c r="Q71" s="12">
        <f>568886.84/1000</f>
        <v>568.88684</v>
      </c>
      <c r="R71" s="12"/>
      <c r="S71" s="12">
        <f aca="true" t="shared" si="8" ref="S71:S90">Q71/B71*100</f>
        <v>16.35731429930091</v>
      </c>
      <c r="T71" s="5"/>
      <c r="U71" s="5"/>
      <c r="V71" s="2" t="s">
        <v>58</v>
      </c>
    </row>
    <row r="72" spans="1:22" ht="21.75">
      <c r="A72" s="14" t="s">
        <v>140</v>
      </c>
      <c r="B72" s="10">
        <f>102796.29/1000</f>
        <v>102.79629</v>
      </c>
      <c r="C72" s="10"/>
      <c r="D72" s="10">
        <v>100</v>
      </c>
      <c r="E72" s="10"/>
      <c r="F72" s="10"/>
      <c r="G72" s="10">
        <f>2589.52/1000</f>
        <v>2.58952</v>
      </c>
      <c r="H72" s="10"/>
      <c r="I72" s="10">
        <f t="shared" si="6"/>
        <v>2.519079239143747</v>
      </c>
      <c r="J72" s="10"/>
      <c r="K72" s="10"/>
      <c r="L72" s="10">
        <f>65285/1000</f>
        <v>65.285</v>
      </c>
      <c r="M72" s="10"/>
      <c r="N72" s="10">
        <f t="shared" si="7"/>
        <v>63.50910134986388</v>
      </c>
      <c r="O72" s="10"/>
      <c r="P72" s="10"/>
      <c r="Q72" s="10">
        <f>34921.77/1000</f>
        <v>34.921769999999995</v>
      </c>
      <c r="R72" s="10"/>
      <c r="S72" s="10">
        <f t="shared" si="8"/>
        <v>33.97181941099236</v>
      </c>
      <c r="T72" s="4"/>
      <c r="U72" s="4"/>
      <c r="V72" s="1" t="s">
        <v>59</v>
      </c>
    </row>
    <row r="73" spans="1:22" ht="21.75">
      <c r="A73" s="14" t="s">
        <v>141</v>
      </c>
      <c r="B73" s="10">
        <f>46.34/1000</f>
        <v>0.046340000000000006</v>
      </c>
      <c r="C73" s="10"/>
      <c r="D73" s="10">
        <v>100</v>
      </c>
      <c r="E73" s="10"/>
      <c r="F73" s="10"/>
      <c r="G73" s="10" t="s">
        <v>14</v>
      </c>
      <c r="H73" s="10"/>
      <c r="I73" s="10" t="s">
        <v>14</v>
      </c>
      <c r="J73" s="10"/>
      <c r="K73" s="10"/>
      <c r="L73" s="10" t="s">
        <v>14</v>
      </c>
      <c r="M73" s="10"/>
      <c r="N73" s="10" t="s">
        <v>14</v>
      </c>
      <c r="O73" s="10"/>
      <c r="P73" s="10"/>
      <c r="Q73" s="10">
        <f>46.34/1000</f>
        <v>0.046340000000000006</v>
      </c>
      <c r="R73" s="10"/>
      <c r="S73" s="10">
        <f t="shared" si="8"/>
        <v>100</v>
      </c>
      <c r="T73" s="4"/>
      <c r="U73" s="4"/>
      <c r="V73" s="1" t="s">
        <v>60</v>
      </c>
    </row>
    <row r="74" spans="1:22" ht="21.75">
      <c r="A74" s="14" t="s">
        <v>142</v>
      </c>
      <c r="B74" s="10">
        <f>726375.41/1000</f>
        <v>726.37541</v>
      </c>
      <c r="C74" s="10"/>
      <c r="D74" s="10">
        <v>100</v>
      </c>
      <c r="E74" s="10"/>
      <c r="F74" s="10"/>
      <c r="G74" s="10">
        <f>1300.2/1000</f>
        <v>1.3002</v>
      </c>
      <c r="H74" s="10"/>
      <c r="I74" s="10">
        <f t="shared" si="6"/>
        <v>0.1789983501781813</v>
      </c>
      <c r="J74" s="10"/>
      <c r="K74" s="10"/>
      <c r="L74" s="10">
        <f>724634.64/1000</f>
        <v>724.63464</v>
      </c>
      <c r="M74" s="10"/>
      <c r="N74" s="10">
        <f t="shared" si="7"/>
        <v>99.76034844020944</v>
      </c>
      <c r="O74" s="10"/>
      <c r="P74" s="10"/>
      <c r="Q74" s="10">
        <f>440.56/1000</f>
        <v>0.44056</v>
      </c>
      <c r="R74" s="10"/>
      <c r="S74" s="10">
        <f t="shared" si="8"/>
        <v>0.06065183291378215</v>
      </c>
      <c r="T74" s="4"/>
      <c r="U74" s="4"/>
      <c r="V74" s="1" t="s">
        <v>61</v>
      </c>
    </row>
    <row r="75" spans="1:22" ht="21.75">
      <c r="A75" s="14" t="s">
        <v>143</v>
      </c>
      <c r="B75" s="10">
        <f>200442.37/1000</f>
        <v>200.44236999999998</v>
      </c>
      <c r="C75" s="10"/>
      <c r="D75" s="10">
        <v>100</v>
      </c>
      <c r="E75" s="10"/>
      <c r="F75" s="10"/>
      <c r="G75" s="10">
        <f>101928/1000</f>
        <v>101.928</v>
      </c>
      <c r="H75" s="10"/>
      <c r="I75" s="10">
        <f t="shared" si="6"/>
        <v>50.85152405651559</v>
      </c>
      <c r="J75" s="10"/>
      <c r="K75" s="10"/>
      <c r="L75" s="10">
        <f>50483/1000</f>
        <v>50.483</v>
      </c>
      <c r="M75" s="10"/>
      <c r="N75" s="10">
        <f t="shared" si="7"/>
        <v>25.185792804186065</v>
      </c>
      <c r="O75" s="10"/>
      <c r="P75" s="10"/>
      <c r="Q75" s="10">
        <f>48031.37/1000</f>
        <v>48.03137</v>
      </c>
      <c r="R75" s="10"/>
      <c r="S75" s="10">
        <f t="shared" si="8"/>
        <v>23.962683139298345</v>
      </c>
      <c r="T75" s="4"/>
      <c r="U75" s="4"/>
      <c r="V75" s="1" t="s">
        <v>62</v>
      </c>
    </row>
    <row r="76" spans="1:22" ht="21.75">
      <c r="A76" s="14" t="s">
        <v>144</v>
      </c>
      <c r="B76" s="10">
        <f>602889.35/1000</f>
        <v>602.8893499999999</v>
      </c>
      <c r="C76" s="10"/>
      <c r="D76" s="10">
        <v>100</v>
      </c>
      <c r="E76" s="10"/>
      <c r="F76" s="10"/>
      <c r="G76" s="10">
        <f>2139.67/1000</f>
        <v>2.13967</v>
      </c>
      <c r="H76" s="10"/>
      <c r="I76" s="10">
        <f t="shared" si="6"/>
        <v>0.3549026036037957</v>
      </c>
      <c r="J76" s="10"/>
      <c r="K76" s="10"/>
      <c r="L76" s="10">
        <f>562066.95/1000</f>
        <v>562.0669499999999</v>
      </c>
      <c r="M76" s="10"/>
      <c r="N76" s="10">
        <f t="shared" si="7"/>
        <v>93.22887359015381</v>
      </c>
      <c r="O76" s="10"/>
      <c r="P76" s="10"/>
      <c r="Q76" s="10">
        <f>38682.72/1000</f>
        <v>38.68272</v>
      </c>
      <c r="R76" s="10"/>
      <c r="S76" s="10">
        <f t="shared" si="8"/>
        <v>6.416222147563231</v>
      </c>
      <c r="T76" s="4"/>
      <c r="U76" s="4"/>
      <c r="V76" s="1" t="s">
        <v>63</v>
      </c>
    </row>
    <row r="77" spans="1:22" ht="21.75">
      <c r="A77" s="14" t="s">
        <v>145</v>
      </c>
      <c r="B77" s="10">
        <f>3104.03/1000</f>
        <v>3.1040300000000003</v>
      </c>
      <c r="C77" s="10"/>
      <c r="D77" s="10">
        <v>100</v>
      </c>
      <c r="E77" s="10"/>
      <c r="F77" s="10"/>
      <c r="G77" s="10">
        <f>500/1000</f>
        <v>0.5</v>
      </c>
      <c r="H77" s="10"/>
      <c r="I77" s="10">
        <f t="shared" si="6"/>
        <v>16.10809173880407</v>
      </c>
      <c r="J77" s="10"/>
      <c r="K77" s="10"/>
      <c r="L77" s="10">
        <f>2500/1000</f>
        <v>2.5</v>
      </c>
      <c r="M77" s="10"/>
      <c r="N77" s="10">
        <f t="shared" si="7"/>
        <v>80.54045869402034</v>
      </c>
      <c r="O77" s="10"/>
      <c r="P77" s="10"/>
      <c r="Q77" s="10">
        <f>104.03/1000</f>
        <v>0.10403</v>
      </c>
      <c r="R77" s="10"/>
      <c r="S77" s="10">
        <f t="shared" si="8"/>
        <v>3.3514495671755746</v>
      </c>
      <c r="T77" s="4"/>
      <c r="U77" s="4"/>
      <c r="V77" s="1" t="s">
        <v>64</v>
      </c>
    </row>
    <row r="78" spans="1:22" ht="21.75">
      <c r="A78" s="14" t="s">
        <v>146</v>
      </c>
      <c r="B78" s="10">
        <f>57333.21/1000</f>
        <v>57.33321</v>
      </c>
      <c r="C78" s="10"/>
      <c r="D78" s="10">
        <v>100</v>
      </c>
      <c r="E78" s="10"/>
      <c r="F78" s="10"/>
      <c r="G78" s="10">
        <f>45.95/1000</f>
        <v>0.045950000000000005</v>
      </c>
      <c r="H78" s="10"/>
      <c r="I78" s="10">
        <f t="shared" si="6"/>
        <v>0.08014552124327244</v>
      </c>
      <c r="J78" s="10"/>
      <c r="K78" s="10"/>
      <c r="L78" s="10">
        <f>54443.59/1000</f>
        <v>54.44358999999999</v>
      </c>
      <c r="M78" s="10"/>
      <c r="N78" s="10">
        <f t="shared" si="7"/>
        <v>94.95995427432022</v>
      </c>
      <c r="O78" s="10"/>
      <c r="P78" s="10"/>
      <c r="Q78" s="10">
        <f>2843.66/1000</f>
        <v>2.84366</v>
      </c>
      <c r="R78" s="10"/>
      <c r="S78" s="10">
        <f t="shared" si="8"/>
        <v>4.9598827625385</v>
      </c>
      <c r="T78" s="4"/>
      <c r="U78" s="4"/>
      <c r="V78" s="1" t="s">
        <v>65</v>
      </c>
    </row>
    <row r="79" spans="1:22" ht="21.75">
      <c r="A79" s="14" t="s">
        <v>147</v>
      </c>
      <c r="B79" s="10">
        <f>7500/1000</f>
        <v>7.5</v>
      </c>
      <c r="C79" s="10"/>
      <c r="D79" s="10">
        <v>100</v>
      </c>
      <c r="E79" s="10"/>
      <c r="F79" s="10"/>
      <c r="G79" s="10">
        <f>1700/1000</f>
        <v>1.7</v>
      </c>
      <c r="H79" s="10"/>
      <c r="I79" s="10">
        <f t="shared" si="6"/>
        <v>22.666666666666664</v>
      </c>
      <c r="J79" s="10"/>
      <c r="K79" s="10"/>
      <c r="L79" s="10">
        <f>4000/1000</f>
        <v>4</v>
      </c>
      <c r="M79" s="10"/>
      <c r="N79" s="10">
        <f t="shared" si="7"/>
        <v>53.333333333333336</v>
      </c>
      <c r="O79" s="10"/>
      <c r="P79" s="10"/>
      <c r="Q79" s="10">
        <f>1800/1000</f>
        <v>1.8</v>
      </c>
      <c r="R79" s="10"/>
      <c r="S79" s="10">
        <f t="shared" si="8"/>
        <v>24.000000000000004</v>
      </c>
      <c r="T79" s="4"/>
      <c r="U79" s="4"/>
      <c r="V79" s="1" t="s">
        <v>66</v>
      </c>
    </row>
    <row r="80" spans="1:22" ht="21.75">
      <c r="A80" s="14" t="s">
        <v>148</v>
      </c>
      <c r="B80" s="10">
        <f>3500/1000</f>
        <v>3.5</v>
      </c>
      <c r="C80" s="10"/>
      <c r="D80" s="10">
        <v>100</v>
      </c>
      <c r="E80" s="10"/>
      <c r="F80" s="10"/>
      <c r="G80" s="10">
        <f>1400/1000</f>
        <v>1.4</v>
      </c>
      <c r="H80" s="10"/>
      <c r="I80" s="10">
        <f t="shared" si="6"/>
        <v>40</v>
      </c>
      <c r="J80" s="10"/>
      <c r="K80" s="10"/>
      <c r="L80" s="10">
        <f>700/1000</f>
        <v>0.7</v>
      </c>
      <c r="M80" s="10"/>
      <c r="N80" s="10">
        <f t="shared" si="7"/>
        <v>20</v>
      </c>
      <c r="O80" s="10"/>
      <c r="P80" s="10"/>
      <c r="Q80" s="10">
        <f>1400/1000</f>
        <v>1.4</v>
      </c>
      <c r="R80" s="10"/>
      <c r="S80" s="10">
        <f t="shared" si="8"/>
        <v>40</v>
      </c>
      <c r="T80" s="4"/>
      <c r="U80" s="4"/>
      <c r="V80" s="1" t="s">
        <v>67</v>
      </c>
    </row>
    <row r="81" spans="1:22" ht="21.75">
      <c r="A81" s="14" t="s">
        <v>149</v>
      </c>
      <c r="B81" s="10">
        <f>112772.34/1000</f>
        <v>112.77234</v>
      </c>
      <c r="C81" s="10"/>
      <c r="D81" s="10">
        <v>100</v>
      </c>
      <c r="E81" s="10"/>
      <c r="F81" s="10"/>
      <c r="G81" s="10">
        <f>3815.04/1000</f>
        <v>3.8150399999999998</v>
      </c>
      <c r="H81" s="10"/>
      <c r="I81" s="10">
        <f t="shared" si="6"/>
        <v>3.382957203867544</v>
      </c>
      <c r="J81" s="10"/>
      <c r="K81" s="10"/>
      <c r="L81" s="10">
        <f>78060/1000</f>
        <v>78.06</v>
      </c>
      <c r="M81" s="10"/>
      <c r="N81" s="10">
        <f t="shared" si="7"/>
        <v>69.21910106680414</v>
      </c>
      <c r="O81" s="10"/>
      <c r="P81" s="10"/>
      <c r="Q81" s="10">
        <f>30897.3/1000</f>
        <v>30.897299999999998</v>
      </c>
      <c r="R81" s="10"/>
      <c r="S81" s="10">
        <f t="shared" si="8"/>
        <v>27.397941729328306</v>
      </c>
      <c r="T81" s="4"/>
      <c r="U81" s="4"/>
      <c r="V81" s="1" t="s">
        <v>68</v>
      </c>
    </row>
    <row r="82" spans="1:22" ht="21.75">
      <c r="A82" s="14" t="s">
        <v>150</v>
      </c>
      <c r="B82" s="10">
        <f>310704.5/1000</f>
        <v>310.7045</v>
      </c>
      <c r="C82" s="10"/>
      <c r="D82" s="10">
        <v>100</v>
      </c>
      <c r="E82" s="10"/>
      <c r="F82" s="10"/>
      <c r="G82" s="10">
        <f>66105.55/1000</f>
        <v>66.10555000000001</v>
      </c>
      <c r="H82" s="10"/>
      <c r="I82" s="10">
        <f t="shared" si="6"/>
        <v>21.27601949762556</v>
      </c>
      <c r="J82" s="10"/>
      <c r="K82" s="10"/>
      <c r="L82" s="10">
        <f>181629.51/1000</f>
        <v>181.62951</v>
      </c>
      <c r="M82" s="10"/>
      <c r="N82" s="10">
        <f t="shared" si="7"/>
        <v>58.457315552236935</v>
      </c>
      <c r="O82" s="10"/>
      <c r="P82" s="10"/>
      <c r="Q82" s="10">
        <f>62969.43/1000</f>
        <v>62.96943</v>
      </c>
      <c r="R82" s="10"/>
      <c r="S82" s="10">
        <f t="shared" si="8"/>
        <v>20.266661731645343</v>
      </c>
      <c r="T82" s="4"/>
      <c r="U82" s="4"/>
      <c r="V82" s="1" t="s">
        <v>69</v>
      </c>
    </row>
    <row r="83" spans="1:22" ht="21.75">
      <c r="A83" s="14" t="s">
        <v>151</v>
      </c>
      <c r="B83" s="10">
        <f>15/1000</f>
        <v>0.015</v>
      </c>
      <c r="C83" s="10"/>
      <c r="D83" s="10">
        <v>100</v>
      </c>
      <c r="E83" s="10"/>
      <c r="F83" s="10"/>
      <c r="G83" s="10">
        <f>15/1000</f>
        <v>0.015</v>
      </c>
      <c r="H83" s="10"/>
      <c r="I83" s="10">
        <f t="shared" si="6"/>
        <v>100</v>
      </c>
      <c r="J83" s="10"/>
      <c r="K83" s="10"/>
      <c r="L83" s="10" t="s">
        <v>14</v>
      </c>
      <c r="M83" s="10"/>
      <c r="N83" s="10" t="s">
        <v>14</v>
      </c>
      <c r="O83" s="10"/>
      <c r="P83" s="10"/>
      <c r="Q83" s="10" t="s">
        <v>14</v>
      </c>
      <c r="R83" s="10"/>
      <c r="S83" s="10" t="s">
        <v>14</v>
      </c>
      <c r="T83" s="4"/>
      <c r="U83" s="4"/>
      <c r="V83" s="1" t="s">
        <v>70</v>
      </c>
    </row>
    <row r="84" spans="1:22" ht="21.75">
      <c r="A84" s="14" t="s">
        <v>152</v>
      </c>
      <c r="B84" s="10">
        <f>481517.34/1000</f>
        <v>481.51734000000005</v>
      </c>
      <c r="C84" s="10"/>
      <c r="D84" s="10">
        <v>100</v>
      </c>
      <c r="E84" s="10"/>
      <c r="F84" s="10"/>
      <c r="G84" s="10">
        <f>25896.93/1000</f>
        <v>25.89693</v>
      </c>
      <c r="H84" s="10"/>
      <c r="I84" s="10">
        <f t="shared" si="6"/>
        <v>5.378192610882922</v>
      </c>
      <c r="J84" s="10"/>
      <c r="K84" s="10"/>
      <c r="L84" s="10">
        <f>416200/1000</f>
        <v>416.2</v>
      </c>
      <c r="M84" s="10"/>
      <c r="N84" s="10">
        <f t="shared" si="7"/>
        <v>86.43510117413423</v>
      </c>
      <c r="O84" s="10"/>
      <c r="P84" s="10"/>
      <c r="Q84" s="10">
        <f>39420.42/1000</f>
        <v>39.42042</v>
      </c>
      <c r="R84" s="10"/>
      <c r="S84" s="10">
        <f t="shared" si="8"/>
        <v>8.186708291751236</v>
      </c>
      <c r="T84" s="4"/>
      <c r="U84" s="4"/>
      <c r="V84" s="1" t="s">
        <v>71</v>
      </c>
    </row>
    <row r="85" spans="1:22" ht="21.75">
      <c r="A85" s="14" t="s">
        <v>153</v>
      </c>
      <c r="B85" s="10">
        <f>41061.34/1000</f>
        <v>41.061339999999994</v>
      </c>
      <c r="C85" s="10"/>
      <c r="D85" s="10">
        <v>100</v>
      </c>
      <c r="E85" s="10"/>
      <c r="F85" s="10"/>
      <c r="G85" s="10">
        <f>61.34/1000</f>
        <v>0.061340000000000006</v>
      </c>
      <c r="H85" s="10"/>
      <c r="I85" s="10">
        <f t="shared" si="6"/>
        <v>0.14938625967881228</v>
      </c>
      <c r="J85" s="10"/>
      <c r="K85" s="10"/>
      <c r="L85" s="10">
        <f>41000/1000</f>
        <v>41</v>
      </c>
      <c r="M85" s="10"/>
      <c r="N85" s="10">
        <f t="shared" si="7"/>
        <v>99.85061374032121</v>
      </c>
      <c r="O85" s="10"/>
      <c r="P85" s="10"/>
      <c r="Q85" s="10" t="s">
        <v>14</v>
      </c>
      <c r="R85" s="10"/>
      <c r="S85" s="10" t="s">
        <v>14</v>
      </c>
      <c r="T85" s="4"/>
      <c r="U85" s="4"/>
      <c r="V85" s="1" t="s">
        <v>72</v>
      </c>
    </row>
    <row r="86" spans="1:22" ht="21.75">
      <c r="A86" s="14" t="s">
        <v>154</v>
      </c>
      <c r="B86" s="10">
        <f>1000/1000</f>
        <v>1</v>
      </c>
      <c r="C86" s="10"/>
      <c r="D86" s="10">
        <v>100</v>
      </c>
      <c r="E86" s="10"/>
      <c r="F86" s="10"/>
      <c r="G86" s="10" t="s">
        <v>14</v>
      </c>
      <c r="H86" s="10"/>
      <c r="I86" s="10" t="s">
        <v>14</v>
      </c>
      <c r="J86" s="10"/>
      <c r="K86" s="10"/>
      <c r="L86" s="10">
        <f>1000/1000</f>
        <v>1</v>
      </c>
      <c r="M86" s="10"/>
      <c r="N86" s="10">
        <f t="shared" si="7"/>
        <v>100</v>
      </c>
      <c r="O86" s="10"/>
      <c r="P86" s="10"/>
      <c r="Q86" s="10" t="s">
        <v>14</v>
      </c>
      <c r="R86" s="10"/>
      <c r="S86" s="10" t="s">
        <v>14</v>
      </c>
      <c r="T86" s="4"/>
      <c r="U86" s="4"/>
      <c r="V86" s="1" t="s">
        <v>73</v>
      </c>
    </row>
    <row r="87" spans="1:22" ht="21.75">
      <c r="A87" s="14" t="s">
        <v>155</v>
      </c>
      <c r="B87" s="10">
        <f>181010/1000</f>
        <v>181.01</v>
      </c>
      <c r="C87" s="10"/>
      <c r="D87" s="10">
        <v>100</v>
      </c>
      <c r="E87" s="10"/>
      <c r="F87" s="10"/>
      <c r="G87" s="10" t="s">
        <v>14</v>
      </c>
      <c r="H87" s="10"/>
      <c r="I87" s="10" t="s">
        <v>14</v>
      </c>
      <c r="J87" s="10"/>
      <c r="K87" s="10"/>
      <c r="L87" s="10">
        <f>172830/1000</f>
        <v>172.83</v>
      </c>
      <c r="M87" s="10"/>
      <c r="N87" s="10">
        <f t="shared" si="7"/>
        <v>95.48091265675932</v>
      </c>
      <c r="O87" s="10"/>
      <c r="P87" s="10"/>
      <c r="Q87" s="10">
        <f>8180/1000</f>
        <v>8.18</v>
      </c>
      <c r="R87" s="10"/>
      <c r="S87" s="10">
        <f t="shared" si="8"/>
        <v>4.519087343240705</v>
      </c>
      <c r="T87" s="4"/>
      <c r="U87" s="4"/>
      <c r="V87" s="1" t="s">
        <v>74</v>
      </c>
    </row>
    <row r="88" spans="1:22" ht="21.75">
      <c r="A88" s="14" t="s">
        <v>156</v>
      </c>
      <c r="B88" s="10">
        <f>99285.85/1000</f>
        <v>99.28585000000001</v>
      </c>
      <c r="C88" s="10"/>
      <c r="D88" s="10">
        <v>100</v>
      </c>
      <c r="E88" s="10"/>
      <c r="F88" s="10"/>
      <c r="G88" s="10">
        <f>14400/1000</f>
        <v>14.4</v>
      </c>
      <c r="H88" s="10"/>
      <c r="I88" s="10">
        <f t="shared" si="6"/>
        <v>14.503577297268441</v>
      </c>
      <c r="J88" s="10"/>
      <c r="K88" s="10"/>
      <c r="L88" s="10">
        <f>63275.84/1000</f>
        <v>63.275839999999995</v>
      </c>
      <c r="M88" s="10"/>
      <c r="N88" s="10">
        <f t="shared" si="7"/>
        <v>63.73097475622155</v>
      </c>
      <c r="O88" s="10"/>
      <c r="P88" s="10"/>
      <c r="Q88" s="10">
        <f>21610.01/1000</f>
        <v>21.61001</v>
      </c>
      <c r="R88" s="10"/>
      <c r="S88" s="10">
        <f t="shared" si="8"/>
        <v>21.765447946509997</v>
      </c>
      <c r="T88" s="4"/>
      <c r="U88" s="4"/>
      <c r="V88" s="1" t="s">
        <v>75</v>
      </c>
    </row>
    <row r="89" spans="1:22" ht="21.75">
      <c r="A89" s="14" t="s">
        <v>157</v>
      </c>
      <c r="B89" s="10">
        <f>279472.89/1000</f>
        <v>279.47289</v>
      </c>
      <c r="C89" s="10"/>
      <c r="D89" s="10">
        <v>100</v>
      </c>
      <c r="E89" s="10"/>
      <c r="F89" s="10"/>
      <c r="G89" s="10">
        <f>200/1000</f>
        <v>0.2</v>
      </c>
      <c r="H89" s="10"/>
      <c r="I89" s="10">
        <f t="shared" si="6"/>
        <v>0.07156329188136996</v>
      </c>
      <c r="J89" s="10"/>
      <c r="K89" s="10"/>
      <c r="L89" s="10">
        <f>216141.08/1000</f>
        <v>216.14108</v>
      </c>
      <c r="M89" s="10"/>
      <c r="N89" s="10">
        <f t="shared" si="7"/>
        <v>77.33883597797266</v>
      </c>
      <c r="O89" s="10"/>
      <c r="P89" s="10"/>
      <c r="Q89" s="10">
        <f>63131.81/1000</f>
        <v>63.131809999999994</v>
      </c>
      <c r="R89" s="10"/>
      <c r="S89" s="10">
        <f t="shared" si="8"/>
        <v>22.58960073014595</v>
      </c>
      <c r="T89" s="4"/>
      <c r="U89" s="4"/>
      <c r="V89" s="1" t="s">
        <v>76</v>
      </c>
    </row>
    <row r="90" spans="1:22" ht="21.75">
      <c r="A90" s="14" t="s">
        <v>158</v>
      </c>
      <c r="B90" s="10">
        <f>267048.1/1000</f>
        <v>267.0481</v>
      </c>
      <c r="C90" s="10"/>
      <c r="D90" s="10">
        <v>100</v>
      </c>
      <c r="E90" s="10"/>
      <c r="F90" s="10"/>
      <c r="G90" s="10">
        <f>3940.7/1000</f>
        <v>3.9406999999999996</v>
      </c>
      <c r="H90" s="10"/>
      <c r="I90" s="10">
        <f t="shared" si="6"/>
        <v>1.4756517646072</v>
      </c>
      <c r="J90" s="10"/>
      <c r="K90" s="10"/>
      <c r="L90" s="10">
        <f>48700/1000</f>
        <v>48.7</v>
      </c>
      <c r="M90" s="10"/>
      <c r="N90" s="10">
        <f t="shared" si="7"/>
        <v>18.236415087768833</v>
      </c>
      <c r="O90" s="10"/>
      <c r="P90" s="10"/>
      <c r="Q90" s="10">
        <f>214407.41/1000</f>
        <v>214.40741</v>
      </c>
      <c r="R90" s="10"/>
      <c r="S90" s="10">
        <f t="shared" si="8"/>
        <v>80.28793689226774</v>
      </c>
      <c r="T90" s="4"/>
      <c r="U90" s="4"/>
      <c r="V90" s="1" t="s">
        <v>77</v>
      </c>
    </row>
    <row r="91" spans="1:22" ht="9.75" customHeight="1">
      <c r="A91" s="7"/>
      <c r="B91" s="8"/>
      <c r="C91" s="8"/>
      <c r="D91" s="9"/>
      <c r="E91" s="9"/>
      <c r="F91" s="9"/>
      <c r="G91" s="8"/>
      <c r="H91" s="8"/>
      <c r="I91" s="9"/>
      <c r="J91" s="9"/>
      <c r="K91" s="9"/>
      <c r="L91" s="8"/>
      <c r="M91" s="8"/>
      <c r="N91" s="9"/>
      <c r="O91" s="9"/>
      <c r="P91" s="9"/>
      <c r="Q91" s="8"/>
      <c r="R91" s="8"/>
      <c r="S91" s="9"/>
      <c r="T91" s="9"/>
      <c r="U91" s="9"/>
      <c r="V91" s="7"/>
    </row>
    <row r="92" spans="2:21" ht="21">
      <c r="B92" s="3"/>
      <c r="C92" s="3"/>
      <c r="D92" s="4"/>
      <c r="E92" s="4"/>
      <c r="F92" s="4"/>
      <c r="G92" s="3"/>
      <c r="H92" s="3"/>
      <c r="I92" s="4"/>
      <c r="J92" s="4"/>
      <c r="K92" s="4"/>
      <c r="L92" s="3"/>
      <c r="M92" s="3"/>
      <c r="N92" s="4"/>
      <c r="O92" s="4"/>
      <c r="P92" s="4"/>
      <c r="Q92" s="3"/>
      <c r="R92" s="3"/>
      <c r="S92" s="4"/>
      <c r="T92" s="4"/>
      <c r="U92" s="4"/>
    </row>
    <row r="93" ht="21" customHeight="1">
      <c r="A93" s="1" t="s">
        <v>175</v>
      </c>
    </row>
    <row r="94" ht="21" customHeight="1">
      <c r="A94" s="1" t="s">
        <v>174</v>
      </c>
    </row>
    <row r="95" spans="7:22" ht="18" customHeight="1">
      <c r="G95" s="7"/>
      <c r="H95" s="7"/>
      <c r="I95" s="7"/>
      <c r="J95" s="7"/>
      <c r="K95" s="7"/>
      <c r="L95" s="7"/>
      <c r="M95" s="7"/>
      <c r="N95" s="7"/>
      <c r="O95" s="7"/>
      <c r="Q95" s="7"/>
      <c r="R95" s="7"/>
      <c r="S95" s="7"/>
      <c r="T95" s="7"/>
      <c r="U95" s="7"/>
      <c r="V95" s="4" t="s">
        <v>176</v>
      </c>
    </row>
    <row r="96" spans="1:22" ht="18" customHeight="1">
      <c r="A96" s="44" t="s">
        <v>93</v>
      </c>
      <c r="B96" s="41" t="s">
        <v>0</v>
      </c>
      <c r="C96" s="41"/>
      <c r="D96" s="41"/>
      <c r="E96" s="41"/>
      <c r="F96" s="15"/>
      <c r="G96" s="43" t="s">
        <v>1</v>
      </c>
      <c r="H96" s="43"/>
      <c r="I96" s="43"/>
      <c r="J96" s="43"/>
      <c r="K96" s="16"/>
      <c r="L96" s="43" t="s">
        <v>2</v>
      </c>
      <c r="M96" s="43"/>
      <c r="N96" s="43"/>
      <c r="O96" s="43"/>
      <c r="P96" s="15"/>
      <c r="Q96" s="43" t="s">
        <v>3</v>
      </c>
      <c r="R96" s="43"/>
      <c r="S96" s="43"/>
      <c r="T96" s="43"/>
      <c r="U96" s="16"/>
      <c r="V96" s="44" t="s">
        <v>94</v>
      </c>
    </row>
    <row r="97" spans="1:22" ht="18" customHeight="1">
      <c r="A97" s="45"/>
      <c r="B97" s="42" t="s">
        <v>4</v>
      </c>
      <c r="C97" s="42"/>
      <c r="D97" s="42"/>
      <c r="E97" s="42"/>
      <c r="F97" s="16"/>
      <c r="G97" s="42" t="s">
        <v>5</v>
      </c>
      <c r="H97" s="42"/>
      <c r="I97" s="42"/>
      <c r="J97" s="42"/>
      <c r="K97" s="16"/>
      <c r="L97" s="42" t="s">
        <v>6</v>
      </c>
      <c r="M97" s="42"/>
      <c r="N97" s="42"/>
      <c r="O97" s="42"/>
      <c r="P97" s="16"/>
      <c r="Q97" s="42" t="s">
        <v>7</v>
      </c>
      <c r="R97" s="42"/>
      <c r="S97" s="42"/>
      <c r="T97" s="42"/>
      <c r="U97" s="16"/>
      <c r="V97" s="45"/>
    </row>
    <row r="98" spans="1:22" ht="18" customHeight="1">
      <c r="A98" s="45"/>
      <c r="B98" s="41" t="s">
        <v>8</v>
      </c>
      <c r="C98" s="41"/>
      <c r="D98" s="41" t="s">
        <v>9</v>
      </c>
      <c r="E98" s="41"/>
      <c r="F98" s="16"/>
      <c r="G98" s="41" t="s">
        <v>8</v>
      </c>
      <c r="H98" s="41"/>
      <c r="I98" s="41" t="s">
        <v>9</v>
      </c>
      <c r="J98" s="41"/>
      <c r="K98" s="16"/>
      <c r="L98" s="41" t="s">
        <v>8</v>
      </c>
      <c r="M98" s="41"/>
      <c r="N98" s="41" t="s">
        <v>9</v>
      </c>
      <c r="O98" s="41"/>
      <c r="P98" s="16"/>
      <c r="Q98" s="41" t="s">
        <v>8</v>
      </c>
      <c r="R98" s="41"/>
      <c r="S98" s="41" t="s">
        <v>9</v>
      </c>
      <c r="T98" s="41"/>
      <c r="U98" s="16"/>
      <c r="V98" s="45"/>
    </row>
    <row r="99" spans="1:22" ht="18" customHeight="1">
      <c r="A99" s="46"/>
      <c r="B99" s="42" t="s">
        <v>10</v>
      </c>
      <c r="C99" s="42"/>
      <c r="D99" s="42" t="s">
        <v>11</v>
      </c>
      <c r="E99" s="42"/>
      <c r="F99" s="7"/>
      <c r="G99" s="42" t="s">
        <v>10</v>
      </c>
      <c r="H99" s="42"/>
      <c r="I99" s="42" t="s">
        <v>11</v>
      </c>
      <c r="J99" s="42"/>
      <c r="K99" s="7"/>
      <c r="L99" s="42" t="s">
        <v>10</v>
      </c>
      <c r="M99" s="42"/>
      <c r="N99" s="42" t="s">
        <v>11</v>
      </c>
      <c r="O99" s="42"/>
      <c r="P99" s="7"/>
      <c r="Q99" s="42" t="s">
        <v>10</v>
      </c>
      <c r="R99" s="42"/>
      <c r="S99" s="42" t="s">
        <v>11</v>
      </c>
      <c r="T99" s="42"/>
      <c r="U99" s="7"/>
      <c r="V99" s="46"/>
    </row>
    <row r="100" spans="1:22" s="2" customFormat="1" ht="21.75">
      <c r="A100" s="13" t="s">
        <v>159</v>
      </c>
      <c r="B100" s="12">
        <f>10695094.83/1000</f>
        <v>10695.09483</v>
      </c>
      <c r="C100" s="12"/>
      <c r="D100" s="12">
        <v>100</v>
      </c>
      <c r="E100" s="12"/>
      <c r="F100" s="12"/>
      <c r="G100" s="12">
        <f>497066.61/1000</f>
        <v>497.06660999999997</v>
      </c>
      <c r="H100" s="12"/>
      <c r="I100" s="12">
        <f aca="true" t="shared" si="9" ref="I100:I114">G100/B100*100</f>
        <v>4.647612928178216</v>
      </c>
      <c r="J100" s="12"/>
      <c r="K100" s="12"/>
      <c r="L100" s="12">
        <f>6686262.48/1000</f>
        <v>6686.26248</v>
      </c>
      <c r="M100" s="12"/>
      <c r="N100" s="12">
        <f aca="true" t="shared" si="10" ref="N100:N114">L100/B100*100</f>
        <v>62.51709392276609</v>
      </c>
      <c r="O100" s="12"/>
      <c r="P100" s="12"/>
      <c r="Q100" s="12">
        <f>3511765.74/1000</f>
        <v>3511.7657400000003</v>
      </c>
      <c r="R100" s="12"/>
      <c r="S100" s="12">
        <f aca="true" t="shared" si="11" ref="S100:S114">Q100/B100*100</f>
        <v>32.8352931490557</v>
      </c>
      <c r="T100" s="5"/>
      <c r="U100" s="5"/>
      <c r="V100" s="2" t="s">
        <v>78</v>
      </c>
    </row>
    <row r="101" spans="1:22" ht="21.75">
      <c r="A101" s="14" t="s">
        <v>160</v>
      </c>
      <c r="B101" s="10">
        <f>62817.74/1000</f>
        <v>62.81774</v>
      </c>
      <c r="C101" s="10"/>
      <c r="D101" s="10">
        <v>100</v>
      </c>
      <c r="E101" s="10"/>
      <c r="F101" s="10"/>
      <c r="G101" s="10">
        <f>816.35/1000</f>
        <v>0.81635</v>
      </c>
      <c r="H101" s="10"/>
      <c r="I101" s="10">
        <f t="shared" si="9"/>
        <v>1.2995532790577948</v>
      </c>
      <c r="J101" s="10"/>
      <c r="K101" s="10"/>
      <c r="L101" s="10">
        <f>39115.53/1000</f>
        <v>39.11553</v>
      </c>
      <c r="M101" s="10"/>
      <c r="N101" s="10">
        <f t="shared" si="10"/>
        <v>62.26828599691743</v>
      </c>
      <c r="O101" s="10"/>
      <c r="P101" s="10"/>
      <c r="Q101" s="10">
        <f>22885.86/1000</f>
        <v>22.88586</v>
      </c>
      <c r="R101" s="10"/>
      <c r="S101" s="10">
        <f t="shared" si="11"/>
        <v>36.432160724024776</v>
      </c>
      <c r="T101" s="4"/>
      <c r="U101" s="4"/>
      <c r="V101" s="1" t="s">
        <v>79</v>
      </c>
    </row>
    <row r="102" spans="1:22" ht="21.75">
      <c r="A102" s="14" t="s">
        <v>161</v>
      </c>
      <c r="B102" s="10">
        <f>506573.71/1000</f>
        <v>506.57371</v>
      </c>
      <c r="C102" s="10"/>
      <c r="D102" s="10">
        <v>100</v>
      </c>
      <c r="E102" s="10"/>
      <c r="F102" s="10"/>
      <c r="G102" s="10">
        <f>1181.61/1000</f>
        <v>1.1816099999999998</v>
      </c>
      <c r="H102" s="10"/>
      <c r="I102" s="10">
        <f t="shared" si="9"/>
        <v>0.23325529467370107</v>
      </c>
      <c r="J102" s="10"/>
      <c r="K102" s="10"/>
      <c r="L102" s="10">
        <f>484929.15/1000</f>
        <v>484.92915000000005</v>
      </c>
      <c r="M102" s="10"/>
      <c r="N102" s="10">
        <f t="shared" si="10"/>
        <v>95.72726346181685</v>
      </c>
      <c r="O102" s="10"/>
      <c r="P102" s="10"/>
      <c r="Q102" s="10">
        <f>20462.95/1000</f>
        <v>20.46295</v>
      </c>
      <c r="R102" s="10"/>
      <c r="S102" s="10">
        <f t="shared" si="11"/>
        <v>4.039481243509459</v>
      </c>
      <c r="T102" s="4"/>
      <c r="U102" s="4"/>
      <c r="V102" s="1" t="s">
        <v>80</v>
      </c>
    </row>
    <row r="103" spans="1:22" ht="21.75">
      <c r="A103" s="14" t="s">
        <v>162</v>
      </c>
      <c r="B103" s="10">
        <f>42000/1000</f>
        <v>42</v>
      </c>
      <c r="C103" s="10"/>
      <c r="D103" s="10">
        <v>100</v>
      </c>
      <c r="E103" s="10"/>
      <c r="F103" s="10"/>
      <c r="G103" s="10" t="s">
        <v>14</v>
      </c>
      <c r="H103" s="10"/>
      <c r="I103" s="10" t="s">
        <v>14</v>
      </c>
      <c r="J103" s="10"/>
      <c r="K103" s="10"/>
      <c r="L103" s="10">
        <f>37000/1000</f>
        <v>37</v>
      </c>
      <c r="M103" s="10"/>
      <c r="N103" s="10">
        <f t="shared" si="10"/>
        <v>88.09523809523809</v>
      </c>
      <c r="O103" s="10"/>
      <c r="P103" s="10"/>
      <c r="Q103" s="10">
        <f>5000/1000</f>
        <v>5</v>
      </c>
      <c r="R103" s="10"/>
      <c r="S103" s="10">
        <f t="shared" si="11"/>
        <v>11.904761904761903</v>
      </c>
      <c r="T103" s="4"/>
      <c r="U103" s="4"/>
      <c r="V103" s="1" t="s">
        <v>81</v>
      </c>
    </row>
    <row r="104" spans="1:22" ht="21.75">
      <c r="A104" s="14" t="s">
        <v>163</v>
      </c>
      <c r="B104" s="10">
        <f>7267160.82/1000</f>
        <v>7267.16082</v>
      </c>
      <c r="C104" s="10"/>
      <c r="D104" s="10">
        <v>100</v>
      </c>
      <c r="E104" s="10"/>
      <c r="F104" s="10"/>
      <c r="G104" s="10">
        <f>418318.53/1000</f>
        <v>418.31853</v>
      </c>
      <c r="H104" s="10"/>
      <c r="I104" s="10">
        <f t="shared" si="9"/>
        <v>5.7562855750865305</v>
      </c>
      <c r="J104" s="10"/>
      <c r="K104" s="10"/>
      <c r="L104" s="10">
        <f>3933486.51/1000</f>
        <v>3933.4865099999997</v>
      </c>
      <c r="M104" s="10"/>
      <c r="N104" s="10">
        <f t="shared" si="10"/>
        <v>54.126867526787436</v>
      </c>
      <c r="O104" s="10"/>
      <c r="P104" s="10"/>
      <c r="Q104" s="10">
        <f>2915355.78/1000</f>
        <v>2915.35578</v>
      </c>
      <c r="R104" s="10"/>
      <c r="S104" s="10">
        <f t="shared" si="11"/>
        <v>40.11684689812603</v>
      </c>
      <c r="T104" s="4"/>
      <c r="U104" s="4"/>
      <c r="V104" s="1" t="s">
        <v>82</v>
      </c>
    </row>
    <row r="105" spans="1:22" ht="21.75">
      <c r="A105" s="14" t="s">
        <v>164</v>
      </c>
      <c r="B105" s="10">
        <f>386697.92/1000</f>
        <v>386.69792</v>
      </c>
      <c r="C105" s="10"/>
      <c r="D105" s="10">
        <v>100</v>
      </c>
      <c r="E105" s="10"/>
      <c r="F105" s="10"/>
      <c r="G105" s="10">
        <f>10650.3/1000</f>
        <v>10.6503</v>
      </c>
      <c r="H105" s="10"/>
      <c r="I105" s="10">
        <f t="shared" si="9"/>
        <v>2.7541653184997736</v>
      </c>
      <c r="J105" s="10"/>
      <c r="K105" s="10"/>
      <c r="L105" s="10">
        <f>168770.95/1000</f>
        <v>168.77095</v>
      </c>
      <c r="M105" s="10"/>
      <c r="N105" s="10">
        <f t="shared" si="10"/>
        <v>43.64413183293047</v>
      </c>
      <c r="O105" s="10"/>
      <c r="P105" s="10"/>
      <c r="Q105" s="10">
        <f>207276.66/1000</f>
        <v>207.27666</v>
      </c>
      <c r="R105" s="10"/>
      <c r="S105" s="10">
        <f t="shared" si="11"/>
        <v>53.601700262571875</v>
      </c>
      <c r="T105" s="4"/>
      <c r="U105" s="4"/>
      <c r="V105" s="1" t="s">
        <v>83</v>
      </c>
    </row>
    <row r="106" spans="1:22" ht="21.75">
      <c r="A106" s="14" t="s">
        <v>165</v>
      </c>
      <c r="B106" s="10">
        <f>290875.09/1000</f>
        <v>290.87509</v>
      </c>
      <c r="C106" s="10"/>
      <c r="D106" s="10">
        <v>100</v>
      </c>
      <c r="E106" s="10"/>
      <c r="F106" s="10"/>
      <c r="G106" s="10">
        <f>1465.13/1000</f>
        <v>1.46513</v>
      </c>
      <c r="H106" s="10"/>
      <c r="I106" s="10">
        <f t="shared" si="9"/>
        <v>0.503697308697008</v>
      </c>
      <c r="J106" s="10"/>
      <c r="K106" s="10"/>
      <c r="L106" s="10">
        <f>38336.16/1000</f>
        <v>38.33616000000001</v>
      </c>
      <c r="M106" s="10"/>
      <c r="N106" s="10">
        <f t="shared" si="10"/>
        <v>13.179595406399361</v>
      </c>
      <c r="O106" s="10"/>
      <c r="P106" s="10"/>
      <c r="Q106" s="10">
        <f>251073.8/1000</f>
        <v>251.07379999999998</v>
      </c>
      <c r="R106" s="10"/>
      <c r="S106" s="10">
        <f t="shared" si="11"/>
        <v>86.31670728490363</v>
      </c>
      <c r="T106" s="4"/>
      <c r="U106" s="4"/>
      <c r="V106" s="1" t="s">
        <v>84</v>
      </c>
    </row>
    <row r="107" spans="1:22" ht="21.75">
      <c r="A107" s="14" t="s">
        <v>166</v>
      </c>
      <c r="B107" s="10">
        <f>116487.61/1000</f>
        <v>116.48761</v>
      </c>
      <c r="C107" s="10"/>
      <c r="D107" s="10">
        <v>100</v>
      </c>
      <c r="E107" s="10"/>
      <c r="F107" s="10"/>
      <c r="G107" s="10">
        <f>10000/1000</f>
        <v>10</v>
      </c>
      <c r="H107" s="10"/>
      <c r="I107" s="10">
        <f t="shared" si="9"/>
        <v>8.584603976337055</v>
      </c>
      <c r="J107" s="10"/>
      <c r="K107" s="10"/>
      <c r="L107" s="10">
        <f>99118.01/1000</f>
        <v>99.11801</v>
      </c>
      <c r="M107" s="10"/>
      <c r="N107" s="10">
        <f t="shared" si="10"/>
        <v>85.0888862772616</v>
      </c>
      <c r="O107" s="10"/>
      <c r="P107" s="10"/>
      <c r="Q107" s="10">
        <f>7369.6/1000</f>
        <v>7.3696</v>
      </c>
      <c r="R107" s="10"/>
      <c r="S107" s="10">
        <f t="shared" si="11"/>
        <v>6.3265097464013555</v>
      </c>
      <c r="T107" s="4"/>
      <c r="U107" s="4"/>
      <c r="V107" s="1" t="s">
        <v>85</v>
      </c>
    </row>
    <row r="108" spans="1:22" ht="21.75">
      <c r="A108" s="14" t="s">
        <v>167</v>
      </c>
      <c r="B108" s="10">
        <f>350916.58/1000</f>
        <v>350.91658</v>
      </c>
      <c r="C108" s="10"/>
      <c r="D108" s="10">
        <v>100</v>
      </c>
      <c r="E108" s="10"/>
      <c r="F108" s="10"/>
      <c r="G108" s="10">
        <f>33354.76/1000</f>
        <v>33.35476</v>
      </c>
      <c r="H108" s="10"/>
      <c r="I108" s="10">
        <f t="shared" si="9"/>
        <v>9.505039630786325</v>
      </c>
      <c r="J108" s="10"/>
      <c r="K108" s="10"/>
      <c r="L108" s="10">
        <f>288767.71/1000</f>
        <v>288.76771</v>
      </c>
      <c r="M108" s="10"/>
      <c r="N108" s="10">
        <f t="shared" si="10"/>
        <v>82.28956010001009</v>
      </c>
      <c r="O108" s="10"/>
      <c r="P108" s="10"/>
      <c r="Q108" s="10">
        <f>28794.11/1000</f>
        <v>28.79411</v>
      </c>
      <c r="R108" s="10"/>
      <c r="S108" s="10">
        <f t="shared" si="11"/>
        <v>8.205400269203581</v>
      </c>
      <c r="T108" s="4"/>
      <c r="U108" s="4"/>
      <c r="V108" s="1" t="s">
        <v>86</v>
      </c>
    </row>
    <row r="109" spans="1:22" ht="21.75">
      <c r="A109" s="14" t="s">
        <v>168</v>
      </c>
      <c r="B109" s="10">
        <f>70111.49/1000</f>
        <v>70.11149</v>
      </c>
      <c r="C109" s="10"/>
      <c r="D109" s="10">
        <v>100</v>
      </c>
      <c r="E109" s="10"/>
      <c r="F109" s="10"/>
      <c r="G109" s="10">
        <f>5067.26/1000</f>
        <v>5.06726</v>
      </c>
      <c r="H109" s="10"/>
      <c r="I109" s="10">
        <f t="shared" si="9"/>
        <v>7.227431623547011</v>
      </c>
      <c r="J109" s="10"/>
      <c r="K109" s="10"/>
      <c r="L109" s="10">
        <f>65044.22/1000</f>
        <v>65.04422</v>
      </c>
      <c r="M109" s="10"/>
      <c r="N109" s="10">
        <f t="shared" si="10"/>
        <v>92.77255411345557</v>
      </c>
      <c r="O109" s="10"/>
      <c r="P109" s="10"/>
      <c r="Q109" s="10" t="s">
        <v>14</v>
      </c>
      <c r="R109" s="10"/>
      <c r="S109" s="10" t="s">
        <v>14</v>
      </c>
      <c r="T109" s="4"/>
      <c r="U109" s="4"/>
      <c r="V109" s="1" t="s">
        <v>87</v>
      </c>
    </row>
    <row r="110" spans="1:22" ht="21.75">
      <c r="A110" s="14" t="s">
        <v>169</v>
      </c>
      <c r="B110" s="10">
        <f>924756.5/1000</f>
        <v>924.7565</v>
      </c>
      <c r="C110" s="10"/>
      <c r="D110" s="10">
        <v>100</v>
      </c>
      <c r="E110" s="10"/>
      <c r="F110" s="10"/>
      <c r="G110" s="10">
        <f>10721/1000</f>
        <v>10.721</v>
      </c>
      <c r="H110" s="10"/>
      <c r="I110" s="10">
        <f t="shared" si="9"/>
        <v>1.1593322133988786</v>
      </c>
      <c r="J110" s="10"/>
      <c r="K110" s="10"/>
      <c r="L110" s="10">
        <f>908235.5/1000</f>
        <v>908.2355</v>
      </c>
      <c r="M110" s="10"/>
      <c r="N110" s="10">
        <f t="shared" si="10"/>
        <v>98.21347565548336</v>
      </c>
      <c r="O110" s="10"/>
      <c r="P110" s="10"/>
      <c r="Q110" s="10">
        <f>5800/1000</f>
        <v>5.8</v>
      </c>
      <c r="R110" s="10"/>
      <c r="S110" s="10">
        <f t="shared" si="11"/>
        <v>0.6271921311177592</v>
      </c>
      <c r="T110" s="4"/>
      <c r="U110" s="4"/>
      <c r="V110" s="1" t="s">
        <v>88</v>
      </c>
    </row>
    <row r="111" spans="1:22" ht="21.75">
      <c r="A111" s="14" t="s">
        <v>170</v>
      </c>
      <c r="B111" s="10">
        <f>16058.08/1000</f>
        <v>16.05808</v>
      </c>
      <c r="C111" s="10"/>
      <c r="D111" s="10">
        <v>100</v>
      </c>
      <c r="E111" s="10"/>
      <c r="F111" s="10"/>
      <c r="G111" s="10" t="s">
        <v>14</v>
      </c>
      <c r="H111" s="10"/>
      <c r="I111" s="10" t="s">
        <v>14</v>
      </c>
      <c r="J111" s="10"/>
      <c r="K111" s="10"/>
      <c r="L111" s="10">
        <f>16000/1000</f>
        <v>16</v>
      </c>
      <c r="M111" s="10"/>
      <c r="N111" s="10">
        <f t="shared" si="10"/>
        <v>99.63831292408557</v>
      </c>
      <c r="O111" s="10"/>
      <c r="P111" s="10"/>
      <c r="Q111" s="10">
        <f>58.08/1000</f>
        <v>0.05808</v>
      </c>
      <c r="R111" s="10"/>
      <c r="S111" s="10">
        <f t="shared" si="11"/>
        <v>0.3616870759144306</v>
      </c>
      <c r="T111" s="4"/>
      <c r="U111" s="4"/>
      <c r="V111" s="1" t="s">
        <v>89</v>
      </c>
    </row>
    <row r="112" spans="1:22" ht="21.75">
      <c r="A112" s="14" t="s">
        <v>171</v>
      </c>
      <c r="B112" s="10">
        <f>950/1000</f>
        <v>0.95</v>
      </c>
      <c r="C112" s="10"/>
      <c r="D112" s="10">
        <v>100</v>
      </c>
      <c r="E112" s="10"/>
      <c r="F112" s="10"/>
      <c r="G112" s="10">
        <f>200/1000</f>
        <v>0.2</v>
      </c>
      <c r="H112" s="10"/>
      <c r="I112" s="10">
        <f t="shared" si="9"/>
        <v>21.05263157894737</v>
      </c>
      <c r="J112" s="10"/>
      <c r="K112" s="10"/>
      <c r="L112" s="10">
        <f>750/1000</f>
        <v>0.75</v>
      </c>
      <c r="M112" s="10"/>
      <c r="N112" s="10">
        <f t="shared" si="10"/>
        <v>78.94736842105263</v>
      </c>
      <c r="O112" s="10"/>
      <c r="P112" s="10"/>
      <c r="Q112" s="10" t="s">
        <v>14</v>
      </c>
      <c r="R112" s="10"/>
      <c r="S112" s="10" t="s">
        <v>14</v>
      </c>
      <c r="T112" s="4"/>
      <c r="U112" s="4"/>
      <c r="V112" s="1" t="s">
        <v>90</v>
      </c>
    </row>
    <row r="113" spans="1:22" ht="21.75">
      <c r="A113" s="14" t="s">
        <v>172</v>
      </c>
      <c r="B113" s="10">
        <f>496787.84/1000</f>
        <v>496.78784</v>
      </c>
      <c r="C113" s="10"/>
      <c r="D113" s="10">
        <v>100</v>
      </c>
      <c r="E113" s="10"/>
      <c r="F113" s="10"/>
      <c r="G113" s="10">
        <f>3729.67/1000</f>
        <v>3.72967</v>
      </c>
      <c r="H113" s="10"/>
      <c r="I113" s="10">
        <f t="shared" si="9"/>
        <v>0.7507571038775829</v>
      </c>
      <c r="J113" s="10"/>
      <c r="K113" s="10"/>
      <c r="L113" s="10">
        <f>449219.17/1000</f>
        <v>449.21916999999996</v>
      </c>
      <c r="M113" s="10"/>
      <c r="N113" s="10">
        <f t="shared" si="10"/>
        <v>90.42475153981223</v>
      </c>
      <c r="O113" s="10"/>
      <c r="P113" s="10"/>
      <c r="Q113" s="10">
        <f>43838.99/1000</f>
        <v>43.838989999999995</v>
      </c>
      <c r="R113" s="10"/>
      <c r="S113" s="10">
        <f t="shared" si="11"/>
        <v>8.82448934337845</v>
      </c>
      <c r="T113" s="4"/>
      <c r="U113" s="4"/>
      <c r="V113" s="1" t="s">
        <v>91</v>
      </c>
    </row>
    <row r="114" spans="1:22" ht="21.75">
      <c r="A114" s="14" t="s">
        <v>173</v>
      </c>
      <c r="B114" s="10">
        <f>162901.46/1000</f>
        <v>162.90146</v>
      </c>
      <c r="C114" s="10"/>
      <c r="D114" s="10">
        <v>100</v>
      </c>
      <c r="E114" s="10"/>
      <c r="F114" s="10"/>
      <c r="G114" s="10">
        <f>1562/1000</f>
        <v>1.562</v>
      </c>
      <c r="H114" s="10"/>
      <c r="I114" s="10">
        <f t="shared" si="9"/>
        <v>0.9588618788315342</v>
      </c>
      <c r="J114" s="10"/>
      <c r="K114" s="10"/>
      <c r="L114" s="10">
        <f>157489.56/1000</f>
        <v>157.48956</v>
      </c>
      <c r="M114" s="10"/>
      <c r="N114" s="10">
        <f t="shared" si="10"/>
        <v>96.67780755310605</v>
      </c>
      <c r="O114" s="10"/>
      <c r="P114" s="10"/>
      <c r="Q114" s="10">
        <f>3849.91/1000</f>
        <v>3.84991</v>
      </c>
      <c r="R114" s="10"/>
      <c r="S114" s="10">
        <f t="shared" si="11"/>
        <v>2.363336706742837</v>
      </c>
      <c r="T114" s="4"/>
      <c r="U114" s="4"/>
      <c r="V114" s="1" t="s">
        <v>92</v>
      </c>
    </row>
    <row r="115" spans="1:22" ht="9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</sheetData>
  <mergeCells count="104">
    <mergeCell ref="A4:A7"/>
    <mergeCell ref="B4:E4"/>
    <mergeCell ref="G4:J4"/>
    <mergeCell ref="L4:O4"/>
    <mergeCell ref="L6:M6"/>
    <mergeCell ref="N6:O6"/>
    <mergeCell ref="Q4:T4"/>
    <mergeCell ref="V4:V7"/>
    <mergeCell ref="B5:E5"/>
    <mergeCell ref="G5:J5"/>
    <mergeCell ref="L5:O5"/>
    <mergeCell ref="Q5:T5"/>
    <mergeCell ref="B6:C6"/>
    <mergeCell ref="D6:E6"/>
    <mergeCell ref="G6:H6"/>
    <mergeCell ref="I6:J6"/>
    <mergeCell ref="Q6:R6"/>
    <mergeCell ref="S6:T6"/>
    <mergeCell ref="B7:C7"/>
    <mergeCell ref="D7:E7"/>
    <mergeCell ref="G7:H7"/>
    <mergeCell ref="I7:J7"/>
    <mergeCell ref="L7:M7"/>
    <mergeCell ref="N7:O7"/>
    <mergeCell ref="Q7:R7"/>
    <mergeCell ref="S7:T7"/>
    <mergeCell ref="A38:A41"/>
    <mergeCell ref="B38:E38"/>
    <mergeCell ref="G38:J38"/>
    <mergeCell ref="L38:O38"/>
    <mergeCell ref="L40:M40"/>
    <mergeCell ref="N40:O40"/>
    <mergeCell ref="Q38:T38"/>
    <mergeCell ref="V38:V41"/>
    <mergeCell ref="B39:E39"/>
    <mergeCell ref="G39:J39"/>
    <mergeCell ref="L39:O39"/>
    <mergeCell ref="Q39:T39"/>
    <mergeCell ref="B40:C40"/>
    <mergeCell ref="D40:E40"/>
    <mergeCell ref="G40:H40"/>
    <mergeCell ref="I40:J40"/>
    <mergeCell ref="Q40:R40"/>
    <mergeCell ref="S40:T40"/>
    <mergeCell ref="B41:C41"/>
    <mergeCell ref="D41:E41"/>
    <mergeCell ref="G41:H41"/>
    <mergeCell ref="I41:J41"/>
    <mergeCell ref="L41:M41"/>
    <mergeCell ref="N41:O41"/>
    <mergeCell ref="Q41:R41"/>
    <mergeCell ref="S41:T41"/>
    <mergeCell ref="A67:A70"/>
    <mergeCell ref="B67:E67"/>
    <mergeCell ref="G67:J67"/>
    <mergeCell ref="L67:O67"/>
    <mergeCell ref="L69:M69"/>
    <mergeCell ref="N69:O69"/>
    <mergeCell ref="Q67:T67"/>
    <mergeCell ref="V67:V70"/>
    <mergeCell ref="B68:E68"/>
    <mergeCell ref="G68:J68"/>
    <mergeCell ref="L68:O68"/>
    <mergeCell ref="Q68:T68"/>
    <mergeCell ref="B69:C69"/>
    <mergeCell ref="D69:E69"/>
    <mergeCell ref="G69:H69"/>
    <mergeCell ref="I69:J69"/>
    <mergeCell ref="Q69:R69"/>
    <mergeCell ref="S69:T69"/>
    <mergeCell ref="B70:C70"/>
    <mergeCell ref="D70:E70"/>
    <mergeCell ref="G70:H70"/>
    <mergeCell ref="I70:J70"/>
    <mergeCell ref="L70:M70"/>
    <mergeCell ref="N70:O70"/>
    <mergeCell ref="Q70:R70"/>
    <mergeCell ref="S70:T70"/>
    <mergeCell ref="A96:A99"/>
    <mergeCell ref="B96:E96"/>
    <mergeCell ref="G96:J96"/>
    <mergeCell ref="L96:O96"/>
    <mergeCell ref="L98:M98"/>
    <mergeCell ref="N98:O98"/>
    <mergeCell ref="Q96:T96"/>
    <mergeCell ref="V96:V99"/>
    <mergeCell ref="B97:E97"/>
    <mergeCell ref="G97:J97"/>
    <mergeCell ref="L97:O97"/>
    <mergeCell ref="Q97:T97"/>
    <mergeCell ref="B98:C98"/>
    <mergeCell ref="D98:E98"/>
    <mergeCell ref="G98:H98"/>
    <mergeCell ref="I98:J98"/>
    <mergeCell ref="Q98:R98"/>
    <mergeCell ref="S98:T98"/>
    <mergeCell ref="B99:C99"/>
    <mergeCell ref="D99:E99"/>
    <mergeCell ref="G99:H99"/>
    <mergeCell ref="I99:J99"/>
    <mergeCell ref="L99:M99"/>
    <mergeCell ref="N99:O99"/>
    <mergeCell ref="Q99:R99"/>
    <mergeCell ref="S99:T99"/>
  </mergeCells>
  <printOptions horizontalCentered="1"/>
  <pageMargins left="0.7874015748031497" right="0" top="0.7874015748031497" bottom="0" header="0.5118110236220472" footer="0.5118110236220472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39"/>
  <sheetViews>
    <sheetView tabSelected="1" workbookViewId="0" topLeftCell="A1">
      <selection activeCell="A3" sqref="A3"/>
    </sheetView>
  </sheetViews>
  <sheetFormatPr defaultColWidth="9.140625" defaultRowHeight="21.75"/>
  <cols>
    <col min="1" max="1" width="2.7109375" style="1" customWidth="1"/>
    <col min="2" max="2" width="22.8515625" style="1" customWidth="1"/>
    <col min="3" max="3" width="11.8515625" style="1" customWidth="1"/>
    <col min="4" max="4" width="1.8515625" style="1" customWidth="1"/>
    <col min="5" max="5" width="9.28125" style="1" customWidth="1"/>
    <col min="6" max="6" width="2.7109375" style="1" customWidth="1"/>
    <col min="7" max="7" width="1.7109375" style="1" customWidth="1"/>
    <col min="8" max="8" width="11.8515625" style="1" customWidth="1"/>
    <col min="9" max="9" width="1.8515625" style="1" customWidth="1"/>
    <col min="10" max="10" width="9.28125" style="1" customWidth="1"/>
    <col min="11" max="11" width="2.7109375" style="1" customWidth="1"/>
    <col min="12" max="12" width="1.7109375" style="1" customWidth="1"/>
    <col min="13" max="13" width="11.8515625" style="1" customWidth="1"/>
    <col min="14" max="14" width="1.8515625" style="1" customWidth="1"/>
    <col min="15" max="15" width="9.28125" style="1" customWidth="1"/>
    <col min="16" max="16" width="2.7109375" style="1" customWidth="1"/>
    <col min="17" max="17" width="1.7109375" style="1" customWidth="1"/>
    <col min="18" max="18" width="11.8515625" style="1" customWidth="1"/>
    <col min="19" max="19" width="1.8515625" style="1" customWidth="1"/>
    <col min="20" max="20" width="9.28125" style="1" customWidth="1"/>
    <col min="21" max="21" width="2.7109375" style="1" customWidth="1"/>
    <col min="22" max="22" width="3.140625" style="1" customWidth="1"/>
    <col min="23" max="23" width="26.7109375" style="1" customWidth="1"/>
    <col min="24" max="83" width="9.140625" style="16" customWidth="1"/>
    <col min="84" max="16384" width="9.140625" style="1" customWidth="1"/>
  </cols>
  <sheetData>
    <row r="1" spans="1:83" s="2" customFormat="1" ht="22.5" customHeight="1">
      <c r="A1" s="2" t="s">
        <v>194</v>
      </c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</row>
    <row r="2" spans="1:83" s="18" customFormat="1" ht="21" customHeight="1">
      <c r="A2" s="18" t="s">
        <v>195</v>
      </c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</row>
    <row r="3" spans="8:23" ht="18" customHeight="1">
      <c r="H3" s="7"/>
      <c r="I3" s="7"/>
      <c r="J3" s="7"/>
      <c r="K3" s="7"/>
      <c r="L3" s="7"/>
      <c r="M3" s="7"/>
      <c r="N3" s="7"/>
      <c r="O3" s="7"/>
      <c r="P3" s="7"/>
      <c r="R3" s="7"/>
      <c r="S3" s="7"/>
      <c r="T3" s="7"/>
      <c r="U3" s="7"/>
      <c r="V3" s="7"/>
      <c r="W3" s="21" t="s">
        <v>187</v>
      </c>
    </row>
    <row r="4" spans="1:23" ht="25.5" customHeight="1">
      <c r="A4" s="47" t="s">
        <v>93</v>
      </c>
      <c r="B4" s="49"/>
      <c r="C4" s="47" t="s">
        <v>179</v>
      </c>
      <c r="D4" s="47"/>
      <c r="E4" s="47"/>
      <c r="F4" s="47"/>
      <c r="G4" s="15"/>
      <c r="H4" s="47" t="s">
        <v>181</v>
      </c>
      <c r="I4" s="47"/>
      <c r="J4" s="47"/>
      <c r="K4" s="47"/>
      <c r="L4" s="16"/>
      <c r="M4" s="47" t="s">
        <v>184</v>
      </c>
      <c r="N4" s="47"/>
      <c r="O4" s="47"/>
      <c r="P4" s="47"/>
      <c r="Q4" s="15"/>
      <c r="R4" s="47" t="s">
        <v>186</v>
      </c>
      <c r="S4" s="47"/>
      <c r="T4" s="47"/>
      <c r="U4" s="47"/>
      <c r="V4" s="16"/>
      <c r="W4" s="47" t="s">
        <v>94</v>
      </c>
    </row>
    <row r="5" spans="1:23" ht="18.75" customHeight="1">
      <c r="A5" s="50"/>
      <c r="B5" s="50"/>
      <c r="C5" s="48" t="s">
        <v>178</v>
      </c>
      <c r="D5" s="48"/>
      <c r="E5" s="48"/>
      <c r="F5" s="48"/>
      <c r="G5" s="16"/>
      <c r="H5" s="48" t="s">
        <v>182</v>
      </c>
      <c r="I5" s="48"/>
      <c r="J5" s="48"/>
      <c r="K5" s="48"/>
      <c r="L5" s="16"/>
      <c r="M5" s="48" t="s">
        <v>183</v>
      </c>
      <c r="N5" s="48"/>
      <c r="O5" s="48"/>
      <c r="P5" s="48"/>
      <c r="Q5" s="16"/>
      <c r="R5" s="48" t="s">
        <v>185</v>
      </c>
      <c r="S5" s="48"/>
      <c r="T5" s="48"/>
      <c r="U5" s="48"/>
      <c r="V5" s="16"/>
      <c r="W5" s="52"/>
    </row>
    <row r="6" spans="1:23" ht="21" customHeight="1">
      <c r="A6" s="50"/>
      <c r="B6" s="50"/>
      <c r="C6" s="47" t="s">
        <v>188</v>
      </c>
      <c r="D6" s="47"/>
      <c r="E6" s="19" t="s">
        <v>9</v>
      </c>
      <c r="F6" s="19"/>
      <c r="G6" s="16"/>
      <c r="H6" s="47" t="s">
        <v>188</v>
      </c>
      <c r="I6" s="47"/>
      <c r="J6" s="19" t="s">
        <v>9</v>
      </c>
      <c r="K6" s="19"/>
      <c r="L6" s="16"/>
      <c r="M6" s="47" t="s">
        <v>188</v>
      </c>
      <c r="N6" s="47"/>
      <c r="O6" s="19" t="s">
        <v>9</v>
      </c>
      <c r="P6" s="19"/>
      <c r="Q6" s="16"/>
      <c r="R6" s="47" t="s">
        <v>188</v>
      </c>
      <c r="S6" s="47"/>
      <c r="T6" s="19" t="s">
        <v>9</v>
      </c>
      <c r="U6" s="19"/>
      <c r="V6" s="16"/>
      <c r="W6" s="52"/>
    </row>
    <row r="7" spans="1:23" ht="18.75" customHeight="1">
      <c r="A7" s="51"/>
      <c r="B7" s="51"/>
      <c r="C7" s="48" t="s">
        <v>189</v>
      </c>
      <c r="D7" s="48"/>
      <c r="E7" s="20" t="s">
        <v>180</v>
      </c>
      <c r="F7" s="20"/>
      <c r="G7" s="7"/>
      <c r="H7" s="48" t="s">
        <v>189</v>
      </c>
      <c r="I7" s="48"/>
      <c r="J7" s="20" t="s">
        <v>180</v>
      </c>
      <c r="K7" s="20"/>
      <c r="L7" s="7"/>
      <c r="M7" s="48" t="s">
        <v>189</v>
      </c>
      <c r="N7" s="48"/>
      <c r="O7" s="20" t="s">
        <v>180</v>
      </c>
      <c r="P7" s="20"/>
      <c r="Q7" s="7"/>
      <c r="R7" s="48" t="s">
        <v>189</v>
      </c>
      <c r="S7" s="48"/>
      <c r="T7" s="20" t="s">
        <v>180</v>
      </c>
      <c r="U7" s="20"/>
      <c r="V7" s="7"/>
      <c r="W7" s="53"/>
    </row>
    <row r="8" spans="2:83" s="2" customFormat="1" ht="19.5" customHeight="1">
      <c r="B8" s="2" t="s">
        <v>95</v>
      </c>
      <c r="C8" s="12">
        <v>10423896.67</v>
      </c>
      <c r="D8" s="12"/>
      <c r="E8" s="12">
        <v>100</v>
      </c>
      <c r="F8" s="12"/>
      <c r="G8" s="12"/>
      <c r="H8" s="12">
        <v>1451487.92</v>
      </c>
      <c r="I8" s="12"/>
      <c r="J8" s="12">
        <f>H8/C8*100</f>
        <v>13.924619227830467</v>
      </c>
      <c r="K8" s="12"/>
      <c r="L8" s="12"/>
      <c r="M8" s="12">
        <v>6524256.72</v>
      </c>
      <c r="N8" s="12"/>
      <c r="O8" s="12">
        <f>M8/C8*100</f>
        <v>62.589422425654185</v>
      </c>
      <c r="P8" s="12"/>
      <c r="Q8" s="12"/>
      <c r="R8" s="12">
        <v>2448152.1</v>
      </c>
      <c r="S8" s="12"/>
      <c r="T8" s="12">
        <f>R8/C8*100</f>
        <v>23.485959018049247</v>
      </c>
      <c r="U8" s="5"/>
      <c r="V8" s="5"/>
      <c r="W8" s="2" t="s">
        <v>12</v>
      </c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</row>
    <row r="9" spans="2:23" ht="18" customHeight="1">
      <c r="B9" s="17" t="s">
        <v>96</v>
      </c>
      <c r="C9" s="10">
        <v>176355.25</v>
      </c>
      <c r="D9" s="10"/>
      <c r="E9" s="10">
        <v>100</v>
      </c>
      <c r="F9" s="10"/>
      <c r="G9" s="10"/>
      <c r="H9" s="10">
        <v>180</v>
      </c>
      <c r="I9" s="10"/>
      <c r="J9" s="10">
        <f aca="true" t="shared" si="0" ref="J9:J33">H9/C9*100</f>
        <v>0.10206670909995591</v>
      </c>
      <c r="K9" s="10"/>
      <c r="L9" s="10"/>
      <c r="M9" s="10">
        <v>148228.97</v>
      </c>
      <c r="N9" s="10"/>
      <c r="O9" s="10">
        <f aca="true" t="shared" si="1" ref="O9:O33">M9/C9*100</f>
        <v>84.05135089542274</v>
      </c>
      <c r="P9" s="10"/>
      <c r="Q9" s="10"/>
      <c r="R9" s="10">
        <v>27946.29</v>
      </c>
      <c r="S9" s="10"/>
      <c r="T9" s="10">
        <f aca="true" t="shared" si="2" ref="T9:T33">R9/C9*100</f>
        <v>15.846588065850039</v>
      </c>
      <c r="U9" s="4"/>
      <c r="V9" s="4"/>
      <c r="W9" s="1" t="s">
        <v>13</v>
      </c>
    </row>
    <row r="10" spans="2:23" ht="18" customHeight="1">
      <c r="B10" s="17" t="s">
        <v>97</v>
      </c>
      <c r="C10" s="10">
        <v>898.53</v>
      </c>
      <c r="D10" s="10"/>
      <c r="E10" s="10">
        <v>100</v>
      </c>
      <c r="F10" s="10"/>
      <c r="G10" s="10"/>
      <c r="H10" s="10" t="s">
        <v>14</v>
      </c>
      <c r="I10" s="10"/>
      <c r="J10" s="10" t="s">
        <v>14</v>
      </c>
      <c r="K10" s="10"/>
      <c r="L10" s="10"/>
      <c r="M10" s="10"/>
      <c r="N10" s="10"/>
      <c r="O10" s="10" t="s">
        <v>14</v>
      </c>
      <c r="P10" s="10"/>
      <c r="Q10" s="10"/>
      <c r="R10" s="10">
        <v>898.53</v>
      </c>
      <c r="S10" s="10"/>
      <c r="T10" s="10">
        <f t="shared" si="2"/>
        <v>100</v>
      </c>
      <c r="U10" s="4"/>
      <c r="V10" s="4"/>
      <c r="W10" s="1" t="s">
        <v>16</v>
      </c>
    </row>
    <row r="11" spans="2:23" ht="18" customHeight="1">
      <c r="B11" s="17" t="s">
        <v>98</v>
      </c>
      <c r="C11" s="10">
        <v>155.15</v>
      </c>
      <c r="D11" s="10"/>
      <c r="E11" s="10">
        <v>100</v>
      </c>
      <c r="F11" s="10"/>
      <c r="G11" s="10"/>
      <c r="H11" s="10" t="s">
        <v>14</v>
      </c>
      <c r="I11" s="10"/>
      <c r="J11" s="10" t="s">
        <v>14</v>
      </c>
      <c r="K11" s="10"/>
      <c r="L11" s="10"/>
      <c r="M11" s="10" t="s">
        <v>14</v>
      </c>
      <c r="N11" s="10"/>
      <c r="O11" s="10" t="s">
        <v>14</v>
      </c>
      <c r="P11" s="10"/>
      <c r="Q11" s="10"/>
      <c r="R11" s="10">
        <v>155.15</v>
      </c>
      <c r="S11" s="10"/>
      <c r="T11" s="10">
        <f t="shared" si="2"/>
        <v>100</v>
      </c>
      <c r="U11" s="4"/>
      <c r="V11" s="4"/>
      <c r="W11" s="1" t="s">
        <v>17</v>
      </c>
    </row>
    <row r="12" spans="2:23" ht="18" customHeight="1">
      <c r="B12" s="17" t="s">
        <v>99</v>
      </c>
      <c r="C12" s="10">
        <v>418686.7</v>
      </c>
      <c r="D12" s="10"/>
      <c r="E12" s="10">
        <v>100</v>
      </c>
      <c r="F12" s="10"/>
      <c r="G12" s="10"/>
      <c r="H12" s="10">
        <v>44904.4</v>
      </c>
      <c r="I12" s="10"/>
      <c r="J12" s="10">
        <f t="shared" si="0"/>
        <v>10.725060050868585</v>
      </c>
      <c r="K12" s="10"/>
      <c r="L12" s="10"/>
      <c r="M12" s="10">
        <v>323890</v>
      </c>
      <c r="N12" s="10"/>
      <c r="O12" s="10">
        <f t="shared" si="1"/>
        <v>77.35855951478754</v>
      </c>
      <c r="P12" s="10"/>
      <c r="Q12" s="10"/>
      <c r="R12" s="10">
        <v>49892.27</v>
      </c>
      <c r="S12" s="10"/>
      <c r="T12" s="10">
        <f t="shared" si="2"/>
        <v>11.91637326908163</v>
      </c>
      <c r="U12" s="4"/>
      <c r="V12" s="4"/>
      <c r="W12" s="1" t="s">
        <v>18</v>
      </c>
    </row>
    <row r="13" spans="2:23" ht="18" customHeight="1">
      <c r="B13" s="17" t="s">
        <v>100</v>
      </c>
      <c r="C13" s="10">
        <v>41850</v>
      </c>
      <c r="D13" s="10"/>
      <c r="E13" s="10">
        <v>100</v>
      </c>
      <c r="F13" s="10"/>
      <c r="G13" s="10"/>
      <c r="H13" s="10" t="s">
        <v>14</v>
      </c>
      <c r="I13" s="10"/>
      <c r="J13" s="10" t="s">
        <v>14</v>
      </c>
      <c r="K13" s="10"/>
      <c r="L13" s="10"/>
      <c r="M13" s="10">
        <v>40700</v>
      </c>
      <c r="N13" s="10"/>
      <c r="O13" s="10">
        <f t="shared" si="1"/>
        <v>97.2520908004779</v>
      </c>
      <c r="P13" s="10"/>
      <c r="Q13" s="10"/>
      <c r="R13" s="10">
        <v>1150</v>
      </c>
      <c r="S13" s="10"/>
      <c r="T13" s="10">
        <f t="shared" si="2"/>
        <v>2.7479091995221028</v>
      </c>
      <c r="U13" s="4"/>
      <c r="V13" s="4"/>
      <c r="W13" s="1" t="s">
        <v>19</v>
      </c>
    </row>
    <row r="14" spans="2:23" ht="18" customHeight="1">
      <c r="B14" s="17" t="s">
        <v>101</v>
      </c>
      <c r="C14" s="10">
        <v>46475.79</v>
      </c>
      <c r="D14" s="10"/>
      <c r="E14" s="10">
        <v>100</v>
      </c>
      <c r="F14" s="10"/>
      <c r="G14" s="10"/>
      <c r="H14" s="10" t="s">
        <v>14</v>
      </c>
      <c r="I14" s="10"/>
      <c r="J14" s="10" t="s">
        <v>14</v>
      </c>
      <c r="K14" s="10"/>
      <c r="L14" s="10"/>
      <c r="M14" s="10">
        <v>46444.34</v>
      </c>
      <c r="N14" s="10"/>
      <c r="O14" s="10">
        <f t="shared" si="1"/>
        <v>99.93233035952697</v>
      </c>
      <c r="P14" s="10"/>
      <c r="Q14" s="10"/>
      <c r="R14" s="10">
        <v>31.45</v>
      </c>
      <c r="S14" s="10"/>
      <c r="T14" s="10">
        <f t="shared" si="2"/>
        <v>0.06766964047302906</v>
      </c>
      <c r="U14" s="4"/>
      <c r="V14" s="4"/>
      <c r="W14" s="1" t="s">
        <v>20</v>
      </c>
    </row>
    <row r="15" spans="2:23" ht="18" customHeight="1">
      <c r="B15" s="17" t="s">
        <v>102</v>
      </c>
      <c r="C15" s="10" t="s">
        <v>14</v>
      </c>
      <c r="D15" s="10"/>
      <c r="E15" s="10" t="s">
        <v>15</v>
      </c>
      <c r="F15" s="10"/>
      <c r="G15" s="10"/>
      <c r="H15" s="10" t="s">
        <v>14</v>
      </c>
      <c r="I15" s="10"/>
      <c r="J15" s="10" t="s">
        <v>14</v>
      </c>
      <c r="K15" s="10"/>
      <c r="L15" s="10"/>
      <c r="M15" s="10" t="s">
        <v>14</v>
      </c>
      <c r="N15" s="10"/>
      <c r="O15" s="10" t="s">
        <v>14</v>
      </c>
      <c r="P15" s="10"/>
      <c r="Q15" s="10"/>
      <c r="R15" s="10" t="s">
        <v>14</v>
      </c>
      <c r="S15" s="10"/>
      <c r="T15" s="10" t="s">
        <v>14</v>
      </c>
      <c r="U15" s="4"/>
      <c r="V15" s="4"/>
      <c r="W15" s="1" t="s">
        <v>21</v>
      </c>
    </row>
    <row r="16" spans="2:23" ht="18" customHeight="1">
      <c r="B16" s="17" t="s">
        <v>103</v>
      </c>
      <c r="C16" s="10">
        <v>56008</v>
      </c>
      <c r="D16" s="10"/>
      <c r="E16" s="10">
        <v>100</v>
      </c>
      <c r="F16" s="10"/>
      <c r="G16" s="10"/>
      <c r="H16" s="10">
        <v>8</v>
      </c>
      <c r="I16" s="10"/>
      <c r="J16" s="10" t="s">
        <v>177</v>
      </c>
      <c r="K16" s="10"/>
      <c r="L16" s="10"/>
      <c r="M16" s="10">
        <v>56000</v>
      </c>
      <c r="N16" s="10"/>
      <c r="O16" s="10">
        <f t="shared" si="1"/>
        <v>99.9857163262391</v>
      </c>
      <c r="P16" s="10"/>
      <c r="Q16" s="10"/>
      <c r="R16" s="10" t="s">
        <v>14</v>
      </c>
      <c r="S16" s="10"/>
      <c r="T16" s="10" t="s">
        <v>14</v>
      </c>
      <c r="U16" s="4"/>
      <c r="V16" s="4"/>
      <c r="W16" s="1" t="s">
        <v>22</v>
      </c>
    </row>
    <row r="17" spans="2:23" ht="18" customHeight="1">
      <c r="B17" s="17" t="s">
        <v>104</v>
      </c>
      <c r="C17" s="10">
        <v>1596.9</v>
      </c>
      <c r="D17" s="10"/>
      <c r="E17" s="10">
        <v>100</v>
      </c>
      <c r="F17" s="10"/>
      <c r="G17" s="10"/>
      <c r="H17" s="10">
        <v>500</v>
      </c>
      <c r="I17" s="10"/>
      <c r="J17" s="10">
        <f t="shared" si="0"/>
        <v>31.310664412298827</v>
      </c>
      <c r="K17" s="10"/>
      <c r="L17" s="10"/>
      <c r="M17" s="10">
        <v>1012</v>
      </c>
      <c r="N17" s="10"/>
      <c r="O17" s="10">
        <f t="shared" si="1"/>
        <v>63.37278477049283</v>
      </c>
      <c r="P17" s="10"/>
      <c r="Q17" s="10"/>
      <c r="R17" s="10">
        <v>84.9</v>
      </c>
      <c r="S17" s="10"/>
      <c r="T17" s="10">
        <f t="shared" si="2"/>
        <v>5.316550817208341</v>
      </c>
      <c r="U17" s="4"/>
      <c r="V17" s="4"/>
      <c r="W17" s="1" t="s">
        <v>23</v>
      </c>
    </row>
    <row r="18" spans="2:23" ht="18" customHeight="1">
      <c r="B18" s="17" t="s">
        <v>105</v>
      </c>
      <c r="C18" s="10">
        <v>2413571.01</v>
      </c>
      <c r="D18" s="10"/>
      <c r="E18" s="10">
        <v>100</v>
      </c>
      <c r="F18" s="10"/>
      <c r="G18" s="10"/>
      <c r="H18" s="10">
        <v>355493.53</v>
      </c>
      <c r="I18" s="10"/>
      <c r="J18" s="10">
        <f t="shared" si="0"/>
        <v>14.72894431227031</v>
      </c>
      <c r="K18" s="10"/>
      <c r="L18" s="10"/>
      <c r="M18" s="10">
        <v>1311050.47</v>
      </c>
      <c r="N18" s="10"/>
      <c r="O18" s="10">
        <f t="shared" si="1"/>
        <v>54.31994602885125</v>
      </c>
      <c r="P18" s="10"/>
      <c r="Q18" s="10"/>
      <c r="R18" s="10">
        <v>747027.01</v>
      </c>
      <c r="S18" s="10"/>
      <c r="T18" s="10">
        <f t="shared" si="2"/>
        <v>30.951109658878444</v>
      </c>
      <c r="U18" s="4"/>
      <c r="V18" s="4"/>
      <c r="W18" s="1" t="s">
        <v>24</v>
      </c>
    </row>
    <row r="19" spans="2:23" ht="18" customHeight="1">
      <c r="B19" s="17" t="s">
        <v>106</v>
      </c>
      <c r="C19" s="10">
        <v>20586.6</v>
      </c>
      <c r="D19" s="10"/>
      <c r="E19" s="10">
        <v>100</v>
      </c>
      <c r="F19" s="10"/>
      <c r="G19" s="10"/>
      <c r="H19" s="10">
        <v>240</v>
      </c>
      <c r="I19" s="10"/>
      <c r="J19" s="10">
        <f t="shared" si="0"/>
        <v>1.1658068840896505</v>
      </c>
      <c r="K19" s="10"/>
      <c r="L19" s="10"/>
      <c r="M19" s="10">
        <v>3600</v>
      </c>
      <c r="N19" s="10"/>
      <c r="O19" s="10">
        <f t="shared" si="1"/>
        <v>17.48710326134476</v>
      </c>
      <c r="P19" s="10"/>
      <c r="Q19" s="10"/>
      <c r="R19" s="10">
        <v>16746.6</v>
      </c>
      <c r="S19" s="10"/>
      <c r="T19" s="10">
        <f t="shared" si="2"/>
        <v>81.3470898545656</v>
      </c>
      <c r="U19" s="4"/>
      <c r="V19" s="4"/>
      <c r="W19" s="1" t="s">
        <v>25</v>
      </c>
    </row>
    <row r="20" spans="2:23" ht="18" customHeight="1">
      <c r="B20" s="17" t="s">
        <v>107</v>
      </c>
      <c r="C20" s="10">
        <v>1304315.05</v>
      </c>
      <c r="D20" s="10"/>
      <c r="E20" s="10">
        <v>100</v>
      </c>
      <c r="F20" s="10"/>
      <c r="G20" s="10"/>
      <c r="H20" s="10">
        <v>8977.09</v>
      </c>
      <c r="I20" s="10"/>
      <c r="J20" s="10">
        <f t="shared" si="0"/>
        <v>0.6882608615150151</v>
      </c>
      <c r="K20" s="10"/>
      <c r="L20" s="10"/>
      <c r="M20" s="10">
        <v>578009.51</v>
      </c>
      <c r="N20" s="10"/>
      <c r="O20" s="10">
        <f t="shared" si="1"/>
        <v>44.31517599984758</v>
      </c>
      <c r="P20" s="10"/>
      <c r="Q20" s="10"/>
      <c r="R20" s="10">
        <v>717328.45</v>
      </c>
      <c r="S20" s="10"/>
      <c r="T20" s="10">
        <f t="shared" si="2"/>
        <v>54.9965631386374</v>
      </c>
      <c r="U20" s="4"/>
      <c r="V20" s="4"/>
      <c r="W20" s="1" t="s">
        <v>26</v>
      </c>
    </row>
    <row r="21" spans="2:23" ht="18" customHeight="1">
      <c r="B21" s="17" t="s">
        <v>108</v>
      </c>
      <c r="C21" s="10" t="s">
        <v>14</v>
      </c>
      <c r="D21" s="10"/>
      <c r="E21" s="10" t="s">
        <v>15</v>
      </c>
      <c r="F21" s="10"/>
      <c r="G21" s="10"/>
      <c r="H21" s="10" t="s">
        <v>14</v>
      </c>
      <c r="I21" s="10"/>
      <c r="J21" s="10" t="s">
        <v>14</v>
      </c>
      <c r="K21" s="10"/>
      <c r="L21" s="10"/>
      <c r="M21" s="10" t="s">
        <v>14</v>
      </c>
      <c r="N21" s="10"/>
      <c r="O21" s="10" t="s">
        <v>14</v>
      </c>
      <c r="P21" s="10"/>
      <c r="Q21" s="10"/>
      <c r="R21" s="10" t="s">
        <v>14</v>
      </c>
      <c r="S21" s="10"/>
      <c r="T21" s="10" t="s">
        <v>14</v>
      </c>
      <c r="U21" s="4"/>
      <c r="V21" s="4"/>
      <c r="W21" s="1" t="s">
        <v>27</v>
      </c>
    </row>
    <row r="22" spans="2:23" ht="18" customHeight="1">
      <c r="B22" s="17" t="s">
        <v>109</v>
      </c>
      <c r="C22" s="10">
        <v>38070.88</v>
      </c>
      <c r="D22" s="10"/>
      <c r="E22" s="10">
        <v>100</v>
      </c>
      <c r="F22" s="10"/>
      <c r="G22" s="10"/>
      <c r="H22" s="10" t="s">
        <v>14</v>
      </c>
      <c r="I22" s="10"/>
      <c r="J22" s="10" t="s">
        <v>14</v>
      </c>
      <c r="K22" s="10"/>
      <c r="L22" s="10"/>
      <c r="M22" s="10">
        <v>20000</v>
      </c>
      <c r="N22" s="10"/>
      <c r="O22" s="10">
        <f t="shared" si="1"/>
        <v>52.533589977431575</v>
      </c>
      <c r="P22" s="10"/>
      <c r="Q22" s="10"/>
      <c r="R22" s="10">
        <v>18070.88</v>
      </c>
      <c r="S22" s="10"/>
      <c r="T22" s="10">
        <f t="shared" si="2"/>
        <v>47.46641002256843</v>
      </c>
      <c r="U22" s="4"/>
      <c r="V22" s="4"/>
      <c r="W22" s="1" t="s">
        <v>28</v>
      </c>
    </row>
    <row r="23" spans="2:23" ht="18" customHeight="1">
      <c r="B23" s="17" t="s">
        <v>110</v>
      </c>
      <c r="C23" s="10">
        <v>45060.8</v>
      </c>
      <c r="D23" s="10"/>
      <c r="E23" s="10">
        <v>100</v>
      </c>
      <c r="F23" s="10"/>
      <c r="G23" s="10"/>
      <c r="H23" s="10">
        <v>5000</v>
      </c>
      <c r="I23" s="10"/>
      <c r="J23" s="10">
        <f t="shared" si="0"/>
        <v>11.09611902141107</v>
      </c>
      <c r="K23" s="10"/>
      <c r="L23" s="10"/>
      <c r="M23" s="10">
        <v>6409.5</v>
      </c>
      <c r="N23" s="10"/>
      <c r="O23" s="10">
        <f t="shared" si="1"/>
        <v>14.22411497354685</v>
      </c>
      <c r="P23" s="10"/>
      <c r="Q23" s="10"/>
      <c r="R23" s="10">
        <v>33651.33</v>
      </c>
      <c r="S23" s="10"/>
      <c r="T23" s="10">
        <f t="shared" si="2"/>
        <v>74.6798325817562</v>
      </c>
      <c r="U23" s="4"/>
      <c r="V23" s="4"/>
      <c r="W23" s="1" t="s">
        <v>29</v>
      </c>
    </row>
    <row r="24" spans="2:23" ht="18" customHeight="1">
      <c r="B24" s="17" t="s">
        <v>111</v>
      </c>
      <c r="C24" s="10">
        <v>11451.92</v>
      </c>
      <c r="D24" s="10"/>
      <c r="E24" s="10">
        <v>100</v>
      </c>
      <c r="F24" s="10"/>
      <c r="G24" s="10"/>
      <c r="H24" s="10" t="s">
        <v>14</v>
      </c>
      <c r="I24" s="10"/>
      <c r="J24" s="10" t="s">
        <v>14</v>
      </c>
      <c r="K24" s="10"/>
      <c r="L24" s="10"/>
      <c r="M24" s="10">
        <v>11000</v>
      </c>
      <c r="N24" s="10"/>
      <c r="O24" s="10">
        <f t="shared" si="1"/>
        <v>96.05376216389915</v>
      </c>
      <c r="P24" s="10"/>
      <c r="Q24" s="10"/>
      <c r="R24" s="10">
        <v>451.92</v>
      </c>
      <c r="S24" s="10"/>
      <c r="T24" s="10">
        <f t="shared" si="2"/>
        <v>3.946237836100846</v>
      </c>
      <c r="U24" s="4"/>
      <c r="V24" s="4"/>
      <c r="W24" s="1" t="s">
        <v>30</v>
      </c>
    </row>
    <row r="25" spans="2:23" ht="18" customHeight="1">
      <c r="B25" s="17" t="s">
        <v>112</v>
      </c>
      <c r="C25" s="10">
        <v>51936.97</v>
      </c>
      <c r="D25" s="10"/>
      <c r="E25" s="10">
        <v>100</v>
      </c>
      <c r="F25" s="10"/>
      <c r="G25" s="10"/>
      <c r="H25" s="10" t="s">
        <v>14</v>
      </c>
      <c r="I25" s="10"/>
      <c r="J25" s="10" t="s">
        <v>14</v>
      </c>
      <c r="K25" s="10"/>
      <c r="L25" s="10"/>
      <c r="M25" s="10">
        <v>33887.6</v>
      </c>
      <c r="N25" s="10"/>
      <c r="O25" s="10">
        <f t="shared" si="1"/>
        <v>65.2475490965299</v>
      </c>
      <c r="P25" s="10"/>
      <c r="Q25" s="10"/>
      <c r="R25" s="10">
        <v>18049.37</v>
      </c>
      <c r="S25" s="10"/>
      <c r="T25" s="10">
        <f t="shared" si="2"/>
        <v>34.752450903470105</v>
      </c>
      <c r="U25" s="4"/>
      <c r="V25" s="4"/>
      <c r="W25" s="1" t="s">
        <v>31</v>
      </c>
    </row>
    <row r="26" spans="2:23" ht="18" customHeight="1">
      <c r="B26" s="17" t="s">
        <v>113</v>
      </c>
      <c r="C26" s="10">
        <v>170291.87</v>
      </c>
      <c r="D26" s="10"/>
      <c r="E26" s="10">
        <v>100</v>
      </c>
      <c r="F26" s="10"/>
      <c r="G26" s="10"/>
      <c r="H26" s="10">
        <v>9717.16</v>
      </c>
      <c r="I26" s="10"/>
      <c r="J26" s="10">
        <f t="shared" si="0"/>
        <v>5.706179631476242</v>
      </c>
      <c r="K26" s="10"/>
      <c r="L26" s="10"/>
      <c r="M26" s="10">
        <v>158965.79</v>
      </c>
      <c r="N26" s="10"/>
      <c r="O26" s="10">
        <f t="shared" si="1"/>
        <v>93.34901895199108</v>
      </c>
      <c r="P26" s="10"/>
      <c r="Q26" s="10"/>
      <c r="R26" s="10">
        <v>1608.91</v>
      </c>
      <c r="S26" s="10"/>
      <c r="T26" s="10">
        <f t="shared" si="2"/>
        <v>0.9447955442617432</v>
      </c>
      <c r="U26" s="4"/>
      <c r="V26" s="4"/>
      <c r="W26" s="1" t="s">
        <v>32</v>
      </c>
    </row>
    <row r="27" spans="2:23" ht="18" customHeight="1">
      <c r="B27" s="17" t="s">
        <v>114</v>
      </c>
      <c r="C27" s="10">
        <v>87302.19</v>
      </c>
      <c r="D27" s="10"/>
      <c r="E27" s="10">
        <v>100</v>
      </c>
      <c r="F27" s="10"/>
      <c r="G27" s="10"/>
      <c r="H27" s="10">
        <v>16195.58</v>
      </c>
      <c r="I27" s="10"/>
      <c r="J27" s="10">
        <f t="shared" si="0"/>
        <v>18.551172656722585</v>
      </c>
      <c r="K27" s="10"/>
      <c r="L27" s="10"/>
      <c r="M27" s="10">
        <v>70200.19</v>
      </c>
      <c r="N27" s="10"/>
      <c r="O27" s="10">
        <f t="shared" si="1"/>
        <v>80.41057160192659</v>
      </c>
      <c r="P27" s="10"/>
      <c r="Q27" s="10"/>
      <c r="R27" s="10">
        <v>906.42</v>
      </c>
      <c r="S27" s="10"/>
      <c r="T27" s="10">
        <f t="shared" si="2"/>
        <v>1.0382557413508182</v>
      </c>
      <c r="U27" s="4"/>
      <c r="V27" s="4"/>
      <c r="W27" s="1" t="s">
        <v>33</v>
      </c>
    </row>
    <row r="28" spans="2:23" ht="18" customHeight="1">
      <c r="B28" s="17" t="s">
        <v>115</v>
      </c>
      <c r="C28" s="10">
        <v>280834.28</v>
      </c>
      <c r="D28" s="10"/>
      <c r="E28" s="10">
        <v>100</v>
      </c>
      <c r="F28" s="10"/>
      <c r="G28" s="10"/>
      <c r="H28" s="10" t="s">
        <v>14</v>
      </c>
      <c r="I28" s="10"/>
      <c r="J28" s="10" t="s">
        <v>14</v>
      </c>
      <c r="K28" s="10"/>
      <c r="L28" s="10"/>
      <c r="M28" s="10">
        <v>178041.49</v>
      </c>
      <c r="N28" s="10"/>
      <c r="O28" s="10">
        <f t="shared" si="1"/>
        <v>63.39734949736192</v>
      </c>
      <c r="P28" s="10"/>
      <c r="Q28" s="10"/>
      <c r="R28" s="10">
        <v>102792.79</v>
      </c>
      <c r="S28" s="10"/>
      <c r="T28" s="10">
        <f t="shared" si="2"/>
        <v>36.60265050263806</v>
      </c>
      <c r="U28" s="4"/>
      <c r="V28" s="4"/>
      <c r="W28" s="1" t="s">
        <v>34</v>
      </c>
    </row>
    <row r="29" spans="2:23" ht="18" customHeight="1">
      <c r="B29" s="17" t="s">
        <v>116</v>
      </c>
      <c r="C29" s="10">
        <v>288372.03</v>
      </c>
      <c r="D29" s="10"/>
      <c r="E29" s="10">
        <v>100</v>
      </c>
      <c r="F29" s="10"/>
      <c r="G29" s="10"/>
      <c r="H29" s="10">
        <v>54675</v>
      </c>
      <c r="I29" s="10"/>
      <c r="J29" s="10">
        <f t="shared" si="0"/>
        <v>18.95988317590995</v>
      </c>
      <c r="K29" s="10"/>
      <c r="L29" s="10"/>
      <c r="M29" s="10">
        <v>211826.21</v>
      </c>
      <c r="N29" s="10"/>
      <c r="O29" s="10">
        <f t="shared" si="1"/>
        <v>73.4558791988252</v>
      </c>
      <c r="P29" s="10"/>
      <c r="Q29" s="10"/>
      <c r="R29" s="10">
        <v>21870.82</v>
      </c>
      <c r="S29" s="10"/>
      <c r="T29" s="10">
        <v>7.5</v>
      </c>
      <c r="U29" s="4"/>
      <c r="V29" s="4"/>
      <c r="W29" s="1" t="s">
        <v>35</v>
      </c>
    </row>
    <row r="30" spans="2:23" ht="18" customHeight="1">
      <c r="B30" s="17" t="s">
        <v>117</v>
      </c>
      <c r="C30" s="10">
        <v>7310</v>
      </c>
      <c r="D30" s="10"/>
      <c r="E30" s="10">
        <v>100</v>
      </c>
      <c r="F30" s="10"/>
      <c r="G30" s="10"/>
      <c r="H30" s="10">
        <v>5040</v>
      </c>
      <c r="I30" s="10"/>
      <c r="J30" s="10">
        <f t="shared" si="0"/>
        <v>68.94664842681259</v>
      </c>
      <c r="K30" s="10"/>
      <c r="L30" s="10"/>
      <c r="M30" s="10">
        <v>2270</v>
      </c>
      <c r="N30" s="10"/>
      <c r="O30" s="10">
        <f t="shared" si="1"/>
        <v>31.053351573187417</v>
      </c>
      <c r="P30" s="10"/>
      <c r="Q30" s="10"/>
      <c r="R30" s="10" t="s">
        <v>14</v>
      </c>
      <c r="S30" s="10"/>
      <c r="T30" s="10" t="s">
        <v>14</v>
      </c>
      <c r="U30" s="4"/>
      <c r="V30" s="4"/>
      <c r="W30" s="1" t="s">
        <v>36</v>
      </c>
    </row>
    <row r="31" spans="2:23" ht="18" customHeight="1">
      <c r="B31" s="17" t="s">
        <v>118</v>
      </c>
      <c r="C31" s="10" t="s">
        <v>14</v>
      </c>
      <c r="D31" s="10"/>
      <c r="E31" s="10" t="s">
        <v>15</v>
      </c>
      <c r="F31" s="10"/>
      <c r="G31" s="10"/>
      <c r="H31" s="10" t="s">
        <v>14</v>
      </c>
      <c r="I31" s="10"/>
      <c r="J31" s="10" t="s">
        <v>14</v>
      </c>
      <c r="K31" s="10"/>
      <c r="L31" s="10"/>
      <c r="M31" s="10" t="s">
        <v>14</v>
      </c>
      <c r="N31" s="10"/>
      <c r="O31" s="10" t="s">
        <v>14</v>
      </c>
      <c r="P31" s="10"/>
      <c r="Q31" s="10"/>
      <c r="R31" s="10" t="s">
        <v>14</v>
      </c>
      <c r="S31" s="10"/>
      <c r="T31" s="10" t="s">
        <v>14</v>
      </c>
      <c r="U31" s="4"/>
      <c r="V31" s="4"/>
      <c r="W31" s="1" t="s">
        <v>37</v>
      </c>
    </row>
    <row r="32" spans="2:23" ht="18" customHeight="1">
      <c r="B32" s="17" t="s">
        <v>119</v>
      </c>
      <c r="C32" s="10">
        <v>3809390.35</v>
      </c>
      <c r="D32" s="10"/>
      <c r="E32" s="10">
        <v>100</v>
      </c>
      <c r="F32" s="10"/>
      <c r="G32" s="10"/>
      <c r="H32" s="10">
        <v>64895.66</v>
      </c>
      <c r="I32" s="10"/>
      <c r="J32" s="10">
        <f t="shared" si="0"/>
        <v>1.7035707564072557</v>
      </c>
      <c r="K32" s="10"/>
      <c r="L32" s="10"/>
      <c r="M32" s="10">
        <v>3283682.3</v>
      </c>
      <c r="N32" s="10"/>
      <c r="O32" s="10">
        <f t="shared" si="1"/>
        <v>86.19968021917207</v>
      </c>
      <c r="P32" s="10"/>
      <c r="Q32" s="10"/>
      <c r="R32" s="10">
        <v>460812.39</v>
      </c>
      <c r="S32" s="10"/>
      <c r="T32" s="10">
        <f t="shared" si="2"/>
        <v>12.096749024420667</v>
      </c>
      <c r="U32" s="4"/>
      <c r="V32" s="4"/>
      <c r="W32" s="1" t="s">
        <v>38</v>
      </c>
    </row>
    <row r="33" spans="2:23" ht="18" customHeight="1">
      <c r="B33" s="17" t="s">
        <v>120</v>
      </c>
      <c r="C33" s="10">
        <v>1153376.15</v>
      </c>
      <c r="D33" s="10"/>
      <c r="E33" s="10">
        <v>100</v>
      </c>
      <c r="F33" s="10"/>
      <c r="G33" s="10"/>
      <c r="H33" s="10">
        <v>885661.4</v>
      </c>
      <c r="I33" s="10"/>
      <c r="J33" s="10">
        <f t="shared" si="0"/>
        <v>76.78860014575471</v>
      </c>
      <c r="K33" s="10"/>
      <c r="L33" s="10"/>
      <c r="M33" s="10">
        <v>39038.25</v>
      </c>
      <c r="N33" s="10"/>
      <c r="O33" s="10">
        <f t="shared" si="1"/>
        <v>3.38469370985346</v>
      </c>
      <c r="P33" s="10"/>
      <c r="Q33" s="10"/>
      <c r="R33" s="10">
        <v>228676.5</v>
      </c>
      <c r="S33" s="10"/>
      <c r="T33" s="10">
        <f t="shared" si="2"/>
        <v>19.826706144391835</v>
      </c>
      <c r="U33" s="4"/>
      <c r="V33" s="4"/>
      <c r="W33" s="1" t="s">
        <v>39</v>
      </c>
    </row>
    <row r="34" spans="1:83" s="24" customFormat="1" ht="4.5" customHeight="1">
      <c r="A34" s="22"/>
      <c r="B34" s="22"/>
      <c r="C34" s="22"/>
      <c r="D34" s="22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7"/>
      <c r="AL34" s="27"/>
      <c r="AM34" s="27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</row>
    <row r="35" spans="2:83" s="24" customFormat="1" ht="4.5" customHeight="1">
      <c r="B35" s="25"/>
      <c r="C35" s="25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7"/>
      <c r="AL35" s="27"/>
      <c r="AM35" s="27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</row>
    <row r="36" spans="1:83" s="29" customFormat="1" ht="19.5" customHeight="1">
      <c r="A36" s="28"/>
      <c r="B36" s="40" t="s">
        <v>190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7"/>
      <c r="AL36" s="37"/>
      <c r="AM36" s="37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</row>
    <row r="37" spans="1:83" s="29" customFormat="1" ht="19.5" customHeight="1">
      <c r="A37" s="28"/>
      <c r="B37" s="40" t="s">
        <v>191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7"/>
      <c r="AL37" s="37"/>
      <c r="AM37" s="37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</row>
    <row r="38" spans="1:83" s="32" customFormat="1" ht="19.5" customHeight="1">
      <c r="A38" s="31"/>
      <c r="B38" s="1" t="s">
        <v>192</v>
      </c>
      <c r="G38" s="33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</row>
    <row r="39" spans="1:83" s="32" customFormat="1" ht="19.5" customHeight="1">
      <c r="A39" s="31"/>
      <c r="B39" s="1" t="s">
        <v>193</v>
      </c>
      <c r="G39" s="33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</row>
    <row r="40" s="16" customFormat="1" ht="21"/>
    <row r="41" s="16" customFormat="1" ht="21"/>
    <row r="42" s="16" customFormat="1" ht="21"/>
    <row r="43" s="16" customFormat="1" ht="21"/>
    <row r="44" s="16" customFormat="1" ht="21"/>
    <row r="45" s="16" customFormat="1" ht="21"/>
    <row r="46" s="16" customFormat="1" ht="21"/>
    <row r="47" s="16" customFormat="1" ht="21"/>
    <row r="48" s="16" customFormat="1" ht="21"/>
    <row r="49" s="16" customFormat="1" ht="21"/>
    <row r="50" s="16" customFormat="1" ht="21"/>
    <row r="51" s="16" customFormat="1" ht="21"/>
    <row r="52" s="16" customFormat="1" ht="21"/>
    <row r="53" s="16" customFormat="1" ht="21"/>
    <row r="54" s="16" customFormat="1" ht="21"/>
    <row r="55" s="16" customFormat="1" ht="21"/>
    <row r="56" s="16" customFormat="1" ht="21"/>
    <row r="57" s="16" customFormat="1" ht="21"/>
    <row r="58" s="16" customFormat="1" ht="21"/>
    <row r="59" s="16" customFormat="1" ht="21"/>
    <row r="60" s="16" customFormat="1" ht="21"/>
    <row r="61" s="16" customFormat="1" ht="21"/>
    <row r="62" s="16" customFormat="1" ht="21"/>
    <row r="63" s="16" customFormat="1" ht="21"/>
    <row r="64" s="16" customFormat="1" ht="21"/>
    <row r="65" s="16" customFormat="1" ht="21"/>
    <row r="66" s="16" customFormat="1" ht="21"/>
    <row r="67" s="16" customFormat="1" ht="21"/>
    <row r="68" s="16" customFormat="1" ht="21"/>
    <row r="69" s="16" customFormat="1" ht="21"/>
    <row r="70" s="16" customFormat="1" ht="21"/>
    <row r="71" s="16" customFormat="1" ht="21"/>
    <row r="72" s="16" customFormat="1" ht="21"/>
    <row r="73" s="16" customFormat="1" ht="21"/>
    <row r="74" s="16" customFormat="1" ht="21"/>
    <row r="75" s="16" customFormat="1" ht="21"/>
    <row r="76" s="16" customFormat="1" ht="21"/>
    <row r="77" s="16" customFormat="1" ht="21"/>
    <row r="78" s="16" customFormat="1" ht="21"/>
    <row r="79" s="16" customFormat="1" ht="21"/>
    <row r="80" s="16" customFormat="1" ht="21"/>
    <row r="81" s="16" customFormat="1" ht="21"/>
    <row r="82" s="16" customFormat="1" ht="21"/>
    <row r="83" s="16" customFormat="1" ht="21"/>
    <row r="84" s="16" customFormat="1" ht="21"/>
    <row r="85" s="16" customFormat="1" ht="21"/>
    <row r="86" s="16" customFormat="1" ht="21"/>
    <row r="87" s="16" customFormat="1" ht="21"/>
    <row r="88" s="16" customFormat="1" ht="21"/>
    <row r="89" s="16" customFormat="1" ht="21"/>
    <row r="90" s="16" customFormat="1" ht="21"/>
    <row r="91" s="16" customFormat="1" ht="21"/>
    <row r="92" s="16" customFormat="1" ht="21"/>
    <row r="93" s="16" customFormat="1" ht="21"/>
    <row r="94" s="16" customFormat="1" ht="21"/>
    <row r="95" s="16" customFormat="1" ht="21"/>
    <row r="96" s="16" customFormat="1" ht="21"/>
  </sheetData>
  <mergeCells count="18">
    <mergeCell ref="C4:F4"/>
    <mergeCell ref="C5:F5"/>
    <mergeCell ref="H4:K4"/>
    <mergeCell ref="H5:K5"/>
    <mergeCell ref="H6:I6"/>
    <mergeCell ref="H7:I7"/>
    <mergeCell ref="A4:B7"/>
    <mergeCell ref="W4:W7"/>
    <mergeCell ref="C6:D6"/>
    <mergeCell ref="C7:D7"/>
    <mergeCell ref="M4:P4"/>
    <mergeCell ref="M5:P5"/>
    <mergeCell ref="R4:U4"/>
    <mergeCell ref="R5:U5"/>
    <mergeCell ref="M6:N6"/>
    <mergeCell ref="M7:N7"/>
    <mergeCell ref="R6:S6"/>
    <mergeCell ref="R7:S7"/>
  </mergeCells>
  <printOptions horizontalCentered="1"/>
  <pageMargins left="0.7874015748031497" right="0.7874015748031497" top="0.7874015748031497" bottom="0.3149606299212598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cp:lastPrinted>2003-05-30T10:48:13Z</cp:lastPrinted>
  <dcterms:created xsi:type="dcterms:W3CDTF">2003-03-12T03:49:45Z</dcterms:created>
  <dcterms:modified xsi:type="dcterms:W3CDTF">2005-02-09T05:36:52Z</dcterms:modified>
  <cp:category/>
  <cp:version/>
  <cp:contentType/>
  <cp:contentStatus/>
</cp:coreProperties>
</file>