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75" windowHeight="5775" activeTab="0"/>
  </bookViews>
  <sheets>
    <sheet name="t22" sheetId="1" r:id="rId1"/>
    <sheet name="หาร" sheetId="2" r:id="rId2"/>
  </sheets>
  <definedNames/>
  <calcPr fullCalcOnLoad="1"/>
</workbook>
</file>

<file path=xl/sharedStrings.xml><?xml version="1.0" encoding="utf-8"?>
<sst xmlns="http://schemas.openxmlformats.org/spreadsheetml/2006/main" count="526" uniqueCount="218">
  <si>
    <t xml:space="preserve">      รวม      </t>
  </si>
  <si>
    <t xml:space="preserve">    ที่ดิน     </t>
  </si>
  <si>
    <t xml:space="preserve">   อาคาร และ   </t>
  </si>
  <si>
    <t xml:space="preserve">  เครื่องจักร  </t>
  </si>
  <si>
    <t xml:space="preserve">  เครื่องใช้   </t>
  </si>
  <si>
    <t xml:space="preserve">   ยานพาหนะ    </t>
  </si>
  <si>
    <t xml:space="preserve">   ซอฟต์แวร์   </t>
  </si>
  <si>
    <t xml:space="preserve">     อื่น ๆ    </t>
  </si>
  <si>
    <t xml:space="preserve">     Total     </t>
  </si>
  <si>
    <t xml:space="preserve">     Land      </t>
  </si>
  <si>
    <t xml:space="preserve"> สิ่งก่อสร้าง  </t>
  </si>
  <si>
    <t xml:space="preserve">   และอุปกรณ์  </t>
  </si>
  <si>
    <t xml:space="preserve">   สำนักงาน    </t>
  </si>
  <si>
    <t xml:space="preserve">    Vehicle    </t>
  </si>
  <si>
    <t xml:space="preserve">   Software    </t>
  </si>
  <si>
    <t xml:space="preserve">     Other     </t>
  </si>
  <si>
    <t xml:space="preserve">               </t>
  </si>
  <si>
    <t xml:space="preserve"> Building and  </t>
  </si>
  <si>
    <t xml:space="preserve">   Machinery   </t>
  </si>
  <si>
    <t xml:space="preserve">    Office     </t>
  </si>
  <si>
    <t xml:space="preserve">  fixed assets </t>
  </si>
  <si>
    <t xml:space="preserve"> construction  </t>
  </si>
  <si>
    <t xml:space="preserve"> and equipment </t>
  </si>
  <si>
    <t xml:space="preserve">  appliances   </t>
  </si>
  <si>
    <t xml:space="preserve">  Central Region                   </t>
  </si>
  <si>
    <t xml:space="preserve">              -</t>
  </si>
  <si>
    <t xml:space="preserve">        Samutprakan                </t>
  </si>
  <si>
    <t xml:space="preserve">        Nonthaburi                 </t>
  </si>
  <si>
    <t xml:space="preserve">        Pathum Thani               </t>
  </si>
  <si>
    <t xml:space="preserve">        Phra Nakhon Si Ayutthaya   </t>
  </si>
  <si>
    <t xml:space="preserve">        Ang Thong                  </t>
  </si>
  <si>
    <t xml:space="preserve">        Lopburi                    </t>
  </si>
  <si>
    <t xml:space="preserve">        Singburi                   </t>
  </si>
  <si>
    <t xml:space="preserve">        Chainat                    </t>
  </si>
  <si>
    <t xml:space="preserve">        Saraburi                   </t>
  </si>
  <si>
    <t xml:space="preserve">        Chonburi                   </t>
  </si>
  <si>
    <t xml:space="preserve">        Rayong                     </t>
  </si>
  <si>
    <t xml:space="preserve">        Chanthaburi                </t>
  </si>
  <si>
    <t xml:space="preserve">        Trat                       </t>
  </si>
  <si>
    <t xml:space="preserve">        Chachoengsao               </t>
  </si>
  <si>
    <t xml:space="preserve">        Prachinburi                </t>
  </si>
  <si>
    <t xml:space="preserve">        Nakhonnayok                </t>
  </si>
  <si>
    <t xml:space="preserve">        Sra Kaew                   </t>
  </si>
  <si>
    <t xml:space="preserve">        Ratchaburi                 </t>
  </si>
  <si>
    <t xml:space="preserve">        Kanchanaburi               </t>
  </si>
  <si>
    <t xml:space="preserve">        Suphanburi                 </t>
  </si>
  <si>
    <t xml:space="preserve">        Nakhon Pathom              </t>
  </si>
  <si>
    <t xml:space="preserve">        Samutsakon                 </t>
  </si>
  <si>
    <t xml:space="preserve">        Samutsongkram              </t>
  </si>
  <si>
    <t xml:space="preserve">        Phetchaburi                </t>
  </si>
  <si>
    <t xml:space="preserve">        Prachuapkhiri Khan         </t>
  </si>
  <si>
    <t xml:space="preserve">  Northern Region                  </t>
  </si>
  <si>
    <t xml:space="preserve">        Chiang Mai                 </t>
  </si>
  <si>
    <t xml:space="preserve">        Lamphun                    </t>
  </si>
  <si>
    <t xml:space="preserve">        Lampang                    </t>
  </si>
  <si>
    <t xml:space="preserve">        Uttaradit                  </t>
  </si>
  <si>
    <t xml:space="preserve">        Phrae                      </t>
  </si>
  <si>
    <t xml:space="preserve">        Nan                        </t>
  </si>
  <si>
    <t xml:space="preserve">        Phayao                     </t>
  </si>
  <si>
    <t xml:space="preserve">        Chiang Rai                 </t>
  </si>
  <si>
    <t xml:space="preserve">        Maehongson                 </t>
  </si>
  <si>
    <t xml:space="preserve">        Nakhonsawan                </t>
  </si>
  <si>
    <t xml:space="preserve">        Uthaithani                 </t>
  </si>
  <si>
    <t xml:space="preserve">        Kamphaeng Phet             </t>
  </si>
  <si>
    <t xml:space="preserve">        Tak                        </t>
  </si>
  <si>
    <t xml:space="preserve">        Sukhothai                  </t>
  </si>
  <si>
    <t xml:space="preserve">        Phisanulok                 </t>
  </si>
  <si>
    <t xml:space="preserve">        Phichit                    </t>
  </si>
  <si>
    <t xml:space="preserve">        Phetchabun                 </t>
  </si>
  <si>
    <t xml:space="preserve">  Northeastern Region              </t>
  </si>
  <si>
    <t xml:space="preserve">        Nakhon Ratchasima          </t>
  </si>
  <si>
    <t xml:space="preserve">        Buriram                    </t>
  </si>
  <si>
    <t xml:space="preserve">        Surin                      </t>
  </si>
  <si>
    <t xml:space="preserve">        Sisaket                    </t>
  </si>
  <si>
    <t xml:space="preserve">        Ubonratchathani            </t>
  </si>
  <si>
    <t xml:space="preserve">        Yasothon                   </t>
  </si>
  <si>
    <t xml:space="preserve">        Chaiyaphum                 </t>
  </si>
  <si>
    <t xml:space="preserve">        Amnat Charoen              </t>
  </si>
  <si>
    <t xml:space="preserve">        Nongbualamphu              </t>
  </si>
  <si>
    <t xml:space="preserve">        Khonkaen                   </t>
  </si>
  <si>
    <t xml:space="preserve">        Udonthani                  </t>
  </si>
  <si>
    <t xml:space="preserve">        Loei                       </t>
  </si>
  <si>
    <t xml:space="preserve">        Nongkhai                   </t>
  </si>
  <si>
    <t xml:space="preserve">        Mahasarakham               </t>
  </si>
  <si>
    <t xml:space="preserve">        Roi-et                     </t>
  </si>
  <si>
    <t xml:space="preserve">        Kalasin                    </t>
  </si>
  <si>
    <t xml:space="preserve">        Sakonnakhon                </t>
  </si>
  <si>
    <t xml:space="preserve">        Naknon Phanom              </t>
  </si>
  <si>
    <t xml:space="preserve">        Mukdahan                   </t>
  </si>
  <si>
    <t xml:space="preserve">  Southern Region                  </t>
  </si>
  <si>
    <t xml:space="preserve">        Nakhon Si Thammarat        </t>
  </si>
  <si>
    <t xml:space="preserve">        Krabi                      </t>
  </si>
  <si>
    <t xml:space="preserve">        Phangnga                   </t>
  </si>
  <si>
    <t xml:space="preserve">        Phuket                     </t>
  </si>
  <si>
    <t xml:space="preserve">        Suratthani                 </t>
  </si>
  <si>
    <t xml:space="preserve">        Ranong                     </t>
  </si>
  <si>
    <t xml:space="preserve">        Chumphon                   </t>
  </si>
  <si>
    <t xml:space="preserve">        Songkhla                   </t>
  </si>
  <si>
    <t xml:space="preserve">        Satun                      </t>
  </si>
  <si>
    <t xml:space="preserve">        Trang                      </t>
  </si>
  <si>
    <t xml:space="preserve">        Phatthalung                </t>
  </si>
  <si>
    <t xml:space="preserve">        Pattani                    </t>
  </si>
  <si>
    <t xml:space="preserve">        Yala                       </t>
  </si>
  <si>
    <t xml:space="preserve">        Narathiwat                 </t>
  </si>
  <si>
    <t xml:space="preserve">มูลค่าตามบัญชีของสินทรัพย์ถาวรปลายงวดหรือ 31 ธันวาคม 2544                                   </t>
  </si>
  <si>
    <t xml:space="preserve">Book value of fixed assets of December 31,2001                                        </t>
  </si>
  <si>
    <t>จังหวัด</t>
  </si>
  <si>
    <t>Changwat</t>
  </si>
  <si>
    <t xml:space="preserve">ภาคกลาง                          </t>
  </si>
  <si>
    <t xml:space="preserve">สมุทรปราการ         </t>
  </si>
  <si>
    <t xml:space="preserve">นนทบุรี             </t>
  </si>
  <si>
    <t xml:space="preserve">ปทุมธานี            </t>
  </si>
  <si>
    <t xml:space="preserve">พระนครศรีอยุธยา     </t>
  </si>
  <si>
    <t xml:space="preserve">อ่างทอง             </t>
  </si>
  <si>
    <t xml:space="preserve">ลพบุรี              </t>
  </si>
  <si>
    <t xml:space="preserve">สิงห์บุรี           </t>
  </si>
  <si>
    <t xml:space="preserve">ชัยนาท              </t>
  </si>
  <si>
    <t xml:space="preserve">สระบุรี             </t>
  </si>
  <si>
    <t xml:space="preserve">ชลบุรี              </t>
  </si>
  <si>
    <t xml:space="preserve">ระยอง               </t>
  </si>
  <si>
    <t xml:space="preserve">จันทบุรี            </t>
  </si>
  <si>
    <t xml:space="preserve">ตราด                </t>
  </si>
  <si>
    <t xml:space="preserve">ฉะเชิงเทรา          </t>
  </si>
  <si>
    <t xml:space="preserve">ปราจีนบุรี          </t>
  </si>
  <si>
    <t xml:space="preserve">นครนายก             </t>
  </si>
  <si>
    <t xml:space="preserve">สระแก้ว             </t>
  </si>
  <si>
    <t xml:space="preserve">ราชบุรี             </t>
  </si>
  <si>
    <t xml:space="preserve">กาญจนบุรี           </t>
  </si>
  <si>
    <t xml:space="preserve">สุพรรณบุรี          </t>
  </si>
  <si>
    <t xml:space="preserve">นครปฐม              </t>
  </si>
  <si>
    <t xml:space="preserve">สมุทรสาคร           </t>
  </si>
  <si>
    <t xml:space="preserve">สมุทรสงคราม         </t>
  </si>
  <si>
    <t xml:space="preserve">เพชรบุรี            </t>
  </si>
  <si>
    <t xml:space="preserve">ประจวบคีรีขันธ์     </t>
  </si>
  <si>
    <t xml:space="preserve">ภาคเหนือ                         </t>
  </si>
  <si>
    <t xml:space="preserve">เชียงใหม่           </t>
  </si>
  <si>
    <t xml:space="preserve">ลำพูน               </t>
  </si>
  <si>
    <t xml:space="preserve">ลำปาง               </t>
  </si>
  <si>
    <t xml:space="preserve">อุตรดิตถ์           </t>
  </si>
  <si>
    <t xml:space="preserve">แพร่                </t>
  </si>
  <si>
    <t xml:space="preserve">น่าน                </t>
  </si>
  <si>
    <t xml:space="preserve">พะเยา               </t>
  </si>
  <si>
    <t xml:space="preserve">เชียงราย            </t>
  </si>
  <si>
    <t xml:space="preserve">แม่ฮ่องสอน          </t>
  </si>
  <si>
    <t xml:space="preserve">นครสวรรค์           </t>
  </si>
  <si>
    <t xml:space="preserve">อุทัยธานี           </t>
  </si>
  <si>
    <t xml:space="preserve">กำแพงเพชร           </t>
  </si>
  <si>
    <t xml:space="preserve">ตาก                 </t>
  </si>
  <si>
    <t xml:space="preserve">สุโขทัย             </t>
  </si>
  <si>
    <t xml:space="preserve">พิษณุโลก            </t>
  </si>
  <si>
    <t xml:space="preserve">พิจิตร              </t>
  </si>
  <si>
    <t xml:space="preserve">เพชรบูรณ์           </t>
  </si>
  <si>
    <t xml:space="preserve">ภาคตะวันออกเฉียงเหนือ                        </t>
  </si>
  <si>
    <t xml:space="preserve">นครราชสีมา          </t>
  </si>
  <si>
    <t xml:space="preserve">บุรีรัมย์           </t>
  </si>
  <si>
    <t xml:space="preserve">สุรินทร์            </t>
  </si>
  <si>
    <t xml:space="preserve">ศรีสะเกษ            </t>
  </si>
  <si>
    <t xml:space="preserve">อุบลราชธานี         </t>
  </si>
  <si>
    <t xml:space="preserve">ยโสธร               </t>
  </si>
  <si>
    <t xml:space="preserve">ชัยภูมิ             </t>
  </si>
  <si>
    <t xml:space="preserve">อำนาจเจริญ          </t>
  </si>
  <si>
    <t xml:space="preserve">หนองบัวลำภู         </t>
  </si>
  <si>
    <t xml:space="preserve">ขอนแก่น             </t>
  </si>
  <si>
    <t xml:space="preserve">อุดรธานี            </t>
  </si>
  <si>
    <t xml:space="preserve">เลย                 </t>
  </si>
  <si>
    <t xml:space="preserve">หนองคาย             </t>
  </si>
  <si>
    <t xml:space="preserve">มหาสารคาม           </t>
  </si>
  <si>
    <t xml:space="preserve">ร้อยเอ็ด            </t>
  </si>
  <si>
    <t xml:space="preserve">กาฬสินธุ์           </t>
  </si>
  <si>
    <t xml:space="preserve">สกลนคร              </t>
  </si>
  <si>
    <t xml:space="preserve">นครพนม              </t>
  </si>
  <si>
    <t xml:space="preserve">มุกดาหาร            </t>
  </si>
  <si>
    <t xml:space="preserve">ภาคใต้                           </t>
  </si>
  <si>
    <t xml:space="preserve">นครศรีธรรมราช       </t>
  </si>
  <si>
    <t xml:space="preserve">กระบี่              </t>
  </si>
  <si>
    <t xml:space="preserve">พังงา               </t>
  </si>
  <si>
    <t xml:space="preserve">ภูเก็ต              </t>
  </si>
  <si>
    <t xml:space="preserve">สุราษฎร์ธานี        </t>
  </si>
  <si>
    <t xml:space="preserve">ระนอง               </t>
  </si>
  <si>
    <t xml:space="preserve">ชุมพร               </t>
  </si>
  <si>
    <t xml:space="preserve">สงขลา               </t>
  </si>
  <si>
    <t xml:space="preserve">สตูล                </t>
  </si>
  <si>
    <t xml:space="preserve">ตรัง                </t>
  </si>
  <si>
    <t xml:space="preserve">พัทลุง              </t>
  </si>
  <si>
    <t xml:space="preserve">ปัตตานี             </t>
  </si>
  <si>
    <t xml:space="preserve">ยะลา                </t>
  </si>
  <si>
    <t xml:space="preserve">นราธิวาส            </t>
  </si>
  <si>
    <t>TABLE 21 BOOK WALUE OF FIXED ASSETS AS DECEMBER 31, 2001 BY CHANGWAT</t>
  </si>
  <si>
    <t>ตาราง    21  มูลค่าตามบัญชีของสินทรัพย์ถาวร ณ วันที่ 31 ธันวาคม 2544 จำแนกตามจังหวัด</t>
  </si>
  <si>
    <t>ล้านบาท : Million baht</t>
  </si>
  <si>
    <t xml:space="preserve">ที่ดิน     </t>
  </si>
  <si>
    <t xml:space="preserve">Land      </t>
  </si>
  <si>
    <t xml:space="preserve">อาคาร และ   </t>
  </si>
  <si>
    <t xml:space="preserve">สิ่งก่อสร้าง  </t>
  </si>
  <si>
    <t xml:space="preserve">Building and  </t>
  </si>
  <si>
    <t xml:space="preserve">construction  </t>
  </si>
  <si>
    <t xml:space="preserve">and equipment </t>
  </si>
  <si>
    <t xml:space="preserve">และอุปกรณ์  </t>
  </si>
  <si>
    <t xml:space="preserve">Machinery   </t>
  </si>
  <si>
    <t xml:space="preserve">เครื่องจักร  </t>
  </si>
  <si>
    <t xml:space="preserve">เครื่องใช้   </t>
  </si>
  <si>
    <t xml:space="preserve">สำนักงาน    </t>
  </si>
  <si>
    <t xml:space="preserve">Office     </t>
  </si>
  <si>
    <t xml:space="preserve">appliances   </t>
  </si>
  <si>
    <t xml:space="preserve">ยานพาหนะ    </t>
  </si>
  <si>
    <t xml:space="preserve">Vehicle    </t>
  </si>
  <si>
    <t xml:space="preserve">Software    </t>
  </si>
  <si>
    <t xml:space="preserve">ซอฟต์แวร์   </t>
  </si>
  <si>
    <t xml:space="preserve">Other     </t>
  </si>
  <si>
    <t xml:space="preserve">fixed assets </t>
  </si>
  <si>
    <t xml:space="preserve">อื่น ๆ    </t>
  </si>
  <si>
    <t xml:space="preserve">รวม                     </t>
  </si>
  <si>
    <t xml:space="preserve">Total     </t>
  </si>
  <si>
    <t xml:space="preserve"> พันบาท : In Thousand Baht</t>
  </si>
  <si>
    <t xml:space="preserve">     ที่มา: รายงานการสำรวจการประกอบกิจการโรงแรมและเกสต์เฮาส์ พ.ศ.2545 สำนักงานสถิติแห่งชาติ กระทรวงเทคโนโลยีสารสนเทศและการสื่อสาร</t>
  </si>
  <si>
    <t>Source: Report of the 2002 Hotels and Guest Houses, National Statistical Office, Ministry of Information and Communication Technology.</t>
  </si>
  <si>
    <t>ตาราง    22 มูลค่าตามบัญชีของสินทรัพย์ถาวร ณ วันที่ 31 ธันวาคม 2544 จำแนกตามจังหวัด ภาคกลาง</t>
  </si>
  <si>
    <t>TABLE  22 BOOK VALUE OF FIXED ASSETS AS OF DECEMBER 31, 2001 BY CHANGWAT, CENTRAL REGION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</si>
</sst>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</numFmts>
  <fonts count="7">
    <font>
      <sz val="14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  <font>
      <sz val="13"/>
      <name val="Angsana New"/>
      <family val="1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2"/>
    </xf>
    <xf numFmtId="187" fontId="1" fillId="0" borderId="0" xfId="0" applyNumberFormat="1" applyFont="1" applyAlignment="1">
      <alignment horizontal="right"/>
    </xf>
    <xf numFmtId="187" fontId="1" fillId="0" borderId="0" xfId="0" applyNumberFormat="1" applyFont="1" applyAlignment="1">
      <alignment/>
    </xf>
    <xf numFmtId="187" fontId="1" fillId="0" borderId="1" xfId="0" applyNumberFormat="1" applyFont="1" applyBorder="1" applyAlignment="1">
      <alignment horizontal="right"/>
    </xf>
    <xf numFmtId="187" fontId="0" fillId="0" borderId="1" xfId="0" applyNumberFormat="1" applyBorder="1" applyAlignment="1">
      <alignment/>
    </xf>
    <xf numFmtId="187" fontId="2" fillId="0" borderId="0" xfId="0" applyNumberFormat="1" applyFont="1" applyAlignment="1">
      <alignment horizontal="right"/>
    </xf>
    <xf numFmtId="187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187" fontId="3" fillId="0" borderId="0" xfId="0" applyNumberFormat="1" applyFont="1" applyAlignment="1">
      <alignment horizontal="right"/>
    </xf>
    <xf numFmtId="187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187" fontId="4" fillId="0" borderId="0" xfId="0" applyNumberFormat="1" applyFont="1" applyAlignment="1">
      <alignment horizontal="right"/>
    </xf>
    <xf numFmtId="187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187" fontId="4" fillId="0" borderId="1" xfId="0" applyNumberFormat="1" applyFont="1" applyBorder="1" applyAlignment="1">
      <alignment horizontal="right"/>
    </xf>
    <xf numFmtId="187" fontId="4" fillId="0" borderId="0" xfId="0" applyNumberFormat="1" applyFont="1" applyBorder="1" applyAlignment="1">
      <alignment horizontal="right"/>
    </xf>
    <xf numFmtId="187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87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87" fontId="5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7"/>
  <sheetViews>
    <sheetView tabSelected="1" workbookViewId="0" topLeftCell="A1">
      <selection activeCell="A3" sqref="A3"/>
    </sheetView>
  </sheetViews>
  <sheetFormatPr defaultColWidth="9.140625" defaultRowHeight="21.75"/>
  <cols>
    <col min="1" max="1" width="2.7109375" style="23" customWidth="1"/>
    <col min="2" max="2" width="21.28125" style="23" customWidth="1"/>
    <col min="3" max="3" width="2.28125" style="23" customWidth="1"/>
    <col min="4" max="4" width="13.57421875" style="23" customWidth="1"/>
    <col min="5" max="5" width="2.28125" style="23" customWidth="1"/>
    <col min="6" max="6" width="13.57421875" style="23" customWidth="1"/>
    <col min="7" max="7" width="2.28125" style="23" customWidth="1"/>
    <col min="8" max="8" width="13.57421875" style="23" customWidth="1"/>
    <col min="9" max="9" width="2.28125" style="23" customWidth="1"/>
    <col min="10" max="10" width="13.57421875" style="23" customWidth="1"/>
    <col min="11" max="11" width="2.28125" style="23" customWidth="1"/>
    <col min="12" max="12" width="13.57421875" style="23" customWidth="1"/>
    <col min="13" max="13" width="2.28125" style="23" customWidth="1"/>
    <col min="14" max="14" width="13.57421875" style="23" customWidth="1"/>
    <col min="15" max="15" width="2.28125" style="23" customWidth="1"/>
    <col min="16" max="16" width="13.57421875" style="23" customWidth="1"/>
    <col min="17" max="17" width="2.28125" style="23" customWidth="1"/>
    <col min="18" max="18" width="13.57421875" style="23" customWidth="1"/>
    <col min="19" max="19" width="3.7109375" style="23" customWidth="1"/>
    <col min="20" max="20" width="2.7109375" style="23" customWidth="1"/>
    <col min="21" max="21" width="26.7109375" style="23" customWidth="1"/>
    <col min="22" max="91" width="13.7109375" style="24" customWidth="1"/>
    <col min="92" max="16384" width="13.7109375" style="23" customWidth="1"/>
  </cols>
  <sheetData>
    <row r="1" spans="1:91" s="8" customFormat="1" ht="24" customHeight="1">
      <c r="A1" s="8" t="s">
        <v>216</v>
      </c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</row>
    <row r="2" spans="1:91" s="2" customFormat="1" ht="21" customHeight="1">
      <c r="A2" s="2" t="s">
        <v>217</v>
      </c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</row>
    <row r="3" spans="21:91" s="8" customFormat="1" ht="16.5" customHeight="1">
      <c r="U3" s="21" t="s">
        <v>213</v>
      </c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</row>
    <row r="4" spans="1:21" ht="22.5" customHeight="1">
      <c r="A4" s="50" t="s">
        <v>106</v>
      </c>
      <c r="B4" s="51"/>
      <c r="C4" s="22"/>
      <c r="D4" s="25" t="s">
        <v>211</v>
      </c>
      <c r="E4" s="22"/>
      <c r="F4" s="25" t="s">
        <v>190</v>
      </c>
      <c r="G4" s="22"/>
      <c r="H4" s="25" t="s">
        <v>192</v>
      </c>
      <c r="I4" s="47"/>
      <c r="J4" s="25" t="s">
        <v>199</v>
      </c>
      <c r="K4" s="47"/>
      <c r="L4" s="25" t="s">
        <v>200</v>
      </c>
      <c r="M4" s="22"/>
      <c r="N4" s="25" t="s">
        <v>204</v>
      </c>
      <c r="O4" s="47"/>
      <c r="P4" s="25" t="s">
        <v>207</v>
      </c>
      <c r="Q4" s="47"/>
      <c r="R4" s="25" t="s">
        <v>210</v>
      </c>
      <c r="S4" s="22"/>
      <c r="T4" s="22"/>
      <c r="U4" s="50" t="s">
        <v>107</v>
      </c>
    </row>
    <row r="5" spans="1:21" ht="23.25" customHeight="1">
      <c r="A5" s="52"/>
      <c r="B5" s="52"/>
      <c r="C5" s="24"/>
      <c r="D5" s="26" t="s">
        <v>212</v>
      </c>
      <c r="E5" s="24"/>
      <c r="F5" s="26" t="s">
        <v>191</v>
      </c>
      <c r="G5" s="24"/>
      <c r="H5" s="26" t="s">
        <v>193</v>
      </c>
      <c r="I5" s="27"/>
      <c r="J5" s="26" t="s">
        <v>197</v>
      </c>
      <c r="K5" s="27"/>
      <c r="L5" s="26" t="s">
        <v>201</v>
      </c>
      <c r="M5" s="24"/>
      <c r="N5" s="26" t="s">
        <v>205</v>
      </c>
      <c r="O5" s="27"/>
      <c r="P5" s="26" t="s">
        <v>206</v>
      </c>
      <c r="Q5" s="27"/>
      <c r="R5" s="26" t="s">
        <v>208</v>
      </c>
      <c r="S5" s="24"/>
      <c r="T5" s="24"/>
      <c r="U5" s="54"/>
    </row>
    <row r="6" spans="1:21" ht="18.75" customHeight="1">
      <c r="A6" s="52"/>
      <c r="B6" s="52"/>
      <c r="C6" s="24"/>
      <c r="D6" s="48"/>
      <c r="E6" s="24"/>
      <c r="F6" s="24" t="s">
        <v>16</v>
      </c>
      <c r="G6" s="24"/>
      <c r="H6" s="26" t="s">
        <v>194</v>
      </c>
      <c r="I6" s="27"/>
      <c r="J6" s="26" t="s">
        <v>198</v>
      </c>
      <c r="K6" s="27"/>
      <c r="L6" s="26" t="s">
        <v>202</v>
      </c>
      <c r="M6" s="24"/>
      <c r="N6" s="27" t="s">
        <v>16</v>
      </c>
      <c r="O6" s="27"/>
      <c r="P6" s="27" t="s">
        <v>16</v>
      </c>
      <c r="Q6" s="27"/>
      <c r="R6" s="26" t="s">
        <v>209</v>
      </c>
      <c r="S6" s="24"/>
      <c r="T6" s="24"/>
      <c r="U6" s="54"/>
    </row>
    <row r="7" spans="1:21" ht="18.75" customHeight="1">
      <c r="A7" s="53"/>
      <c r="B7" s="53"/>
      <c r="C7" s="29"/>
      <c r="D7" s="28"/>
      <c r="E7" s="29"/>
      <c r="F7" s="29" t="s">
        <v>16</v>
      </c>
      <c r="G7" s="29"/>
      <c r="H7" s="30" t="s">
        <v>195</v>
      </c>
      <c r="I7" s="31"/>
      <c r="J7" s="30" t="s">
        <v>196</v>
      </c>
      <c r="K7" s="31"/>
      <c r="L7" s="30" t="s">
        <v>203</v>
      </c>
      <c r="M7" s="29"/>
      <c r="N7" s="29" t="s">
        <v>16</v>
      </c>
      <c r="O7" s="29"/>
      <c r="P7" s="29" t="s">
        <v>16</v>
      </c>
      <c r="Q7" s="29"/>
      <c r="R7" s="29" t="s">
        <v>16</v>
      </c>
      <c r="S7" s="29"/>
      <c r="T7" s="29"/>
      <c r="U7" s="53"/>
    </row>
    <row r="8" spans="2:91" s="8" customFormat="1" ht="21.75" customHeight="1">
      <c r="B8" s="8" t="s">
        <v>108</v>
      </c>
      <c r="D8" s="32">
        <v>17159500.83</v>
      </c>
      <c r="E8" s="32"/>
      <c r="F8" s="32">
        <v>5164677.4</v>
      </c>
      <c r="G8" s="33"/>
      <c r="H8" s="32">
        <v>9169306.15</v>
      </c>
      <c r="I8" s="32"/>
      <c r="J8" s="32">
        <v>1357559.07</v>
      </c>
      <c r="K8" s="32"/>
      <c r="L8" s="32">
        <v>450880.27</v>
      </c>
      <c r="M8" s="32"/>
      <c r="N8" s="32">
        <v>202087.12</v>
      </c>
      <c r="O8" s="32"/>
      <c r="P8" s="32">
        <v>113310.87</v>
      </c>
      <c r="Q8" s="32"/>
      <c r="R8" s="32">
        <v>701679.82</v>
      </c>
      <c r="S8" s="34"/>
      <c r="T8" s="34"/>
      <c r="U8" s="8" t="s">
        <v>24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</row>
    <row r="9" spans="2:21" ht="21.75" customHeight="1">
      <c r="B9" s="9" t="s">
        <v>109</v>
      </c>
      <c r="D9" s="35">
        <v>160769.01</v>
      </c>
      <c r="E9" s="35"/>
      <c r="F9" s="35">
        <v>33034.5</v>
      </c>
      <c r="G9" s="36"/>
      <c r="H9" s="35">
        <v>110002.02</v>
      </c>
      <c r="I9" s="35"/>
      <c r="J9" s="35">
        <v>8816.28</v>
      </c>
      <c r="K9" s="35"/>
      <c r="L9" s="35">
        <v>5410.21</v>
      </c>
      <c r="M9" s="35"/>
      <c r="N9" s="35">
        <v>2072</v>
      </c>
      <c r="O9" s="35"/>
      <c r="P9" s="35" t="s">
        <v>25</v>
      </c>
      <c r="Q9" s="35"/>
      <c r="R9" s="35">
        <v>1434</v>
      </c>
      <c r="S9" s="37"/>
      <c r="T9" s="37"/>
      <c r="U9" s="23" t="s">
        <v>26</v>
      </c>
    </row>
    <row r="10" spans="2:21" ht="21.75" customHeight="1">
      <c r="B10" s="9" t="s">
        <v>110</v>
      </c>
      <c r="D10" s="35">
        <v>137474.06</v>
      </c>
      <c r="E10" s="35"/>
      <c r="F10" s="35">
        <v>39120.2</v>
      </c>
      <c r="G10" s="36"/>
      <c r="H10" s="35">
        <v>79301.42</v>
      </c>
      <c r="I10" s="35"/>
      <c r="J10" s="35">
        <v>449.6</v>
      </c>
      <c r="K10" s="35"/>
      <c r="L10" s="35">
        <v>18494.25</v>
      </c>
      <c r="M10" s="35"/>
      <c r="N10" s="35">
        <v>108.58</v>
      </c>
      <c r="O10" s="35"/>
      <c r="P10" s="35" t="s">
        <v>25</v>
      </c>
      <c r="Q10" s="35"/>
      <c r="R10" s="35" t="s">
        <v>25</v>
      </c>
      <c r="S10" s="21"/>
      <c r="T10" s="21"/>
      <c r="U10" s="23" t="s">
        <v>27</v>
      </c>
    </row>
    <row r="11" spans="2:21" ht="21.75" customHeight="1">
      <c r="B11" s="9" t="s">
        <v>111</v>
      </c>
      <c r="D11" s="35">
        <v>3352</v>
      </c>
      <c r="E11" s="35"/>
      <c r="F11" s="35" t="s">
        <v>25</v>
      </c>
      <c r="G11" s="36"/>
      <c r="H11" s="35">
        <v>2973.38</v>
      </c>
      <c r="I11" s="35"/>
      <c r="J11" s="35">
        <v>282.5</v>
      </c>
      <c r="K11" s="35"/>
      <c r="L11" s="35">
        <v>53.97</v>
      </c>
      <c r="M11" s="35"/>
      <c r="N11" s="35" t="s">
        <v>25</v>
      </c>
      <c r="O11" s="35"/>
      <c r="P11" s="35" t="s">
        <v>25</v>
      </c>
      <c r="Q11" s="35"/>
      <c r="R11" s="35">
        <v>42.05</v>
      </c>
      <c r="S11" s="21"/>
      <c r="T11" s="21"/>
      <c r="U11" s="23" t="s">
        <v>28</v>
      </c>
    </row>
    <row r="12" spans="2:21" ht="21.75" customHeight="1">
      <c r="B12" s="9" t="s">
        <v>112</v>
      </c>
      <c r="D12" s="35">
        <v>472153.91</v>
      </c>
      <c r="E12" s="35"/>
      <c r="F12" s="35">
        <v>160787.94</v>
      </c>
      <c r="G12" s="36"/>
      <c r="H12" s="35">
        <v>276513.31</v>
      </c>
      <c r="I12" s="35"/>
      <c r="J12" s="35">
        <v>15196.7</v>
      </c>
      <c r="K12" s="35"/>
      <c r="L12" s="35">
        <v>15545.8</v>
      </c>
      <c r="M12" s="35"/>
      <c r="N12" s="35">
        <v>4110.17</v>
      </c>
      <c r="O12" s="35"/>
      <c r="P12" s="35" t="s">
        <v>25</v>
      </c>
      <c r="Q12" s="35"/>
      <c r="R12" s="35" t="s">
        <v>25</v>
      </c>
      <c r="S12" s="21"/>
      <c r="T12" s="21"/>
      <c r="U12" s="23" t="s">
        <v>29</v>
      </c>
    </row>
    <row r="13" spans="2:21" ht="21.75" customHeight="1">
      <c r="B13" s="9" t="s">
        <v>113</v>
      </c>
      <c r="D13" s="35">
        <v>82690.1</v>
      </c>
      <c r="E13" s="35"/>
      <c r="F13" s="35">
        <v>31850</v>
      </c>
      <c r="G13" s="36"/>
      <c r="H13" s="35">
        <v>45531.84</v>
      </c>
      <c r="I13" s="35"/>
      <c r="J13" s="35">
        <v>1144</v>
      </c>
      <c r="K13" s="35"/>
      <c r="L13" s="35">
        <v>2330.72</v>
      </c>
      <c r="M13" s="35"/>
      <c r="N13" s="35">
        <v>1833.6</v>
      </c>
      <c r="O13" s="35"/>
      <c r="P13" s="35" t="s">
        <v>25</v>
      </c>
      <c r="Q13" s="35"/>
      <c r="R13" s="35" t="s">
        <v>25</v>
      </c>
      <c r="S13" s="21"/>
      <c r="T13" s="21"/>
      <c r="U13" s="23" t="s">
        <v>30</v>
      </c>
    </row>
    <row r="14" spans="2:21" ht="21.75" customHeight="1">
      <c r="B14" s="9" t="s">
        <v>114</v>
      </c>
      <c r="D14" s="35">
        <v>192475.3</v>
      </c>
      <c r="E14" s="35"/>
      <c r="F14" s="35">
        <v>90395.43</v>
      </c>
      <c r="G14" s="36"/>
      <c r="H14" s="35">
        <v>89029.6</v>
      </c>
      <c r="I14" s="35"/>
      <c r="J14" s="35">
        <v>6604</v>
      </c>
      <c r="K14" s="35"/>
      <c r="L14" s="35">
        <v>1589.32</v>
      </c>
      <c r="M14" s="35"/>
      <c r="N14" s="35">
        <v>2668.8</v>
      </c>
      <c r="O14" s="35"/>
      <c r="P14" s="35" t="s">
        <v>25</v>
      </c>
      <c r="Q14" s="35"/>
      <c r="R14" s="35">
        <v>2188.24</v>
      </c>
      <c r="S14" s="37"/>
      <c r="T14" s="37"/>
      <c r="U14" s="23" t="s">
        <v>31</v>
      </c>
    </row>
    <row r="15" spans="2:21" ht="21.75" customHeight="1">
      <c r="B15" s="9" t="s">
        <v>115</v>
      </c>
      <c r="D15" s="35">
        <v>32344</v>
      </c>
      <c r="E15" s="35"/>
      <c r="F15" s="35">
        <v>10800</v>
      </c>
      <c r="G15" s="36"/>
      <c r="H15" s="35">
        <v>21360</v>
      </c>
      <c r="I15" s="35"/>
      <c r="J15" s="35">
        <v>40</v>
      </c>
      <c r="K15" s="35"/>
      <c r="L15" s="35">
        <v>144</v>
      </c>
      <c r="M15" s="35"/>
      <c r="N15" s="35" t="s">
        <v>25</v>
      </c>
      <c r="O15" s="35"/>
      <c r="P15" s="35" t="s">
        <v>25</v>
      </c>
      <c r="Q15" s="35"/>
      <c r="R15" s="35" t="s">
        <v>25</v>
      </c>
      <c r="S15" s="21"/>
      <c r="T15" s="21"/>
      <c r="U15" s="23" t="s">
        <v>32</v>
      </c>
    </row>
    <row r="16" spans="2:21" ht="21.75" customHeight="1">
      <c r="B16" s="9" t="s">
        <v>116</v>
      </c>
      <c r="D16" s="35">
        <v>127614.1</v>
      </c>
      <c r="E16" s="35"/>
      <c r="F16" s="35">
        <v>73455</v>
      </c>
      <c r="G16" s="36"/>
      <c r="H16" s="35">
        <v>50140</v>
      </c>
      <c r="I16" s="35"/>
      <c r="J16" s="35">
        <v>2027.7</v>
      </c>
      <c r="K16" s="35"/>
      <c r="L16" s="35">
        <v>1991.4</v>
      </c>
      <c r="M16" s="35"/>
      <c r="N16" s="35" t="s">
        <v>25</v>
      </c>
      <c r="O16" s="35"/>
      <c r="P16" s="35" t="s">
        <v>25</v>
      </c>
      <c r="Q16" s="35"/>
      <c r="R16" s="35" t="s">
        <v>25</v>
      </c>
      <c r="S16" s="21"/>
      <c r="T16" s="21"/>
      <c r="U16" s="23" t="s">
        <v>33</v>
      </c>
    </row>
    <row r="17" spans="2:21" ht="21.75" customHeight="1">
      <c r="B17" s="9" t="s">
        <v>117</v>
      </c>
      <c r="D17" s="35">
        <v>103489.77</v>
      </c>
      <c r="E17" s="35"/>
      <c r="F17" s="35">
        <v>64201.63</v>
      </c>
      <c r="G17" s="36"/>
      <c r="H17" s="35">
        <v>32395.6</v>
      </c>
      <c r="I17" s="35"/>
      <c r="J17" s="35">
        <v>3073.89</v>
      </c>
      <c r="K17" s="35"/>
      <c r="L17" s="35">
        <v>1112.7</v>
      </c>
      <c r="M17" s="35"/>
      <c r="N17" s="35">
        <v>1200</v>
      </c>
      <c r="O17" s="35"/>
      <c r="P17" s="35" t="s">
        <v>25</v>
      </c>
      <c r="Q17" s="35"/>
      <c r="R17" s="35">
        <v>1506.03</v>
      </c>
      <c r="S17" s="37"/>
      <c r="T17" s="37"/>
      <c r="U17" s="23" t="s">
        <v>34</v>
      </c>
    </row>
    <row r="18" spans="2:21" ht="21.75" customHeight="1">
      <c r="B18" s="9" t="s">
        <v>118</v>
      </c>
      <c r="D18" s="35">
        <v>5379307.15</v>
      </c>
      <c r="E18" s="35"/>
      <c r="F18" s="35">
        <v>1124439.98</v>
      </c>
      <c r="G18" s="36"/>
      <c r="H18" s="35">
        <v>3031236.27</v>
      </c>
      <c r="I18" s="35"/>
      <c r="J18" s="35">
        <v>620499.07</v>
      </c>
      <c r="K18" s="35"/>
      <c r="L18" s="35">
        <v>160054.11</v>
      </c>
      <c r="M18" s="35"/>
      <c r="N18" s="35">
        <v>88811.43</v>
      </c>
      <c r="O18" s="35"/>
      <c r="P18" s="35">
        <v>110153.83</v>
      </c>
      <c r="Q18" s="35"/>
      <c r="R18" s="35">
        <v>244112.46</v>
      </c>
      <c r="S18" s="37"/>
      <c r="T18" s="37"/>
      <c r="U18" s="23" t="s">
        <v>35</v>
      </c>
    </row>
    <row r="19" spans="2:21" ht="21.75" customHeight="1">
      <c r="B19" s="9" t="s">
        <v>119</v>
      </c>
      <c r="D19" s="35">
        <v>608141.51</v>
      </c>
      <c r="E19" s="35"/>
      <c r="F19" s="35">
        <v>410636</v>
      </c>
      <c r="G19" s="36"/>
      <c r="H19" s="35">
        <v>195224.8</v>
      </c>
      <c r="I19" s="35"/>
      <c r="J19" s="35">
        <v>367.06</v>
      </c>
      <c r="K19" s="35"/>
      <c r="L19" s="35">
        <v>278.1</v>
      </c>
      <c r="M19" s="35"/>
      <c r="N19" s="35">
        <v>1635.4</v>
      </c>
      <c r="O19" s="35"/>
      <c r="P19" s="35" t="s">
        <v>25</v>
      </c>
      <c r="Q19" s="35"/>
      <c r="R19" s="35">
        <v>0.07</v>
      </c>
      <c r="S19" s="21"/>
      <c r="T19" s="21"/>
      <c r="U19" s="23" t="s">
        <v>36</v>
      </c>
    </row>
    <row r="20" spans="2:21" ht="21.75" customHeight="1">
      <c r="B20" s="9" t="s">
        <v>120</v>
      </c>
      <c r="D20" s="35">
        <v>812936.03</v>
      </c>
      <c r="E20" s="35"/>
      <c r="F20" s="35">
        <v>319298.15</v>
      </c>
      <c r="G20" s="36"/>
      <c r="H20" s="35">
        <v>387745.13</v>
      </c>
      <c r="I20" s="35"/>
      <c r="J20" s="35">
        <v>76163</v>
      </c>
      <c r="K20" s="35"/>
      <c r="L20" s="35">
        <v>26341.05</v>
      </c>
      <c r="M20" s="35"/>
      <c r="N20" s="35">
        <v>2473.5</v>
      </c>
      <c r="O20" s="35"/>
      <c r="P20" s="35">
        <v>336</v>
      </c>
      <c r="Q20" s="35"/>
      <c r="R20" s="35">
        <v>579.09</v>
      </c>
      <c r="S20" s="21"/>
      <c r="T20" s="21"/>
      <c r="U20" s="23" t="s">
        <v>37</v>
      </c>
    </row>
    <row r="21" spans="2:21" ht="21.75" customHeight="1">
      <c r="B21" s="9" t="s">
        <v>121</v>
      </c>
      <c r="D21" s="35">
        <v>118447.01</v>
      </c>
      <c r="E21" s="35"/>
      <c r="F21" s="35">
        <v>101000</v>
      </c>
      <c r="G21" s="36"/>
      <c r="H21" s="35">
        <v>13383.55</v>
      </c>
      <c r="I21" s="35"/>
      <c r="J21" s="35">
        <v>3073.4</v>
      </c>
      <c r="K21" s="35"/>
      <c r="L21" s="35">
        <v>894</v>
      </c>
      <c r="M21" s="35"/>
      <c r="N21" s="35">
        <v>96</v>
      </c>
      <c r="O21" s="35"/>
      <c r="P21" s="35" t="s">
        <v>25</v>
      </c>
      <c r="Q21" s="35"/>
      <c r="R21" s="35" t="s">
        <v>25</v>
      </c>
      <c r="S21" s="21"/>
      <c r="T21" s="21"/>
      <c r="U21" s="23" t="s">
        <v>38</v>
      </c>
    </row>
    <row r="22" spans="2:21" ht="21.75" customHeight="1">
      <c r="B22" s="9" t="s">
        <v>122</v>
      </c>
      <c r="D22" s="35">
        <v>90073.15</v>
      </c>
      <c r="E22" s="35"/>
      <c r="F22" s="35">
        <v>16045</v>
      </c>
      <c r="G22" s="36"/>
      <c r="H22" s="35">
        <v>65489.7</v>
      </c>
      <c r="I22" s="35"/>
      <c r="J22" s="35">
        <v>6641.5</v>
      </c>
      <c r="K22" s="35"/>
      <c r="L22" s="35">
        <v>91.4</v>
      </c>
      <c r="M22" s="35"/>
      <c r="N22" s="35">
        <v>1805.55</v>
      </c>
      <c r="O22" s="35"/>
      <c r="P22" s="35" t="s">
        <v>25</v>
      </c>
      <c r="Q22" s="35"/>
      <c r="R22" s="35" t="s">
        <v>25</v>
      </c>
      <c r="S22" s="21"/>
      <c r="T22" s="21"/>
      <c r="U22" s="23" t="s">
        <v>39</v>
      </c>
    </row>
    <row r="23" spans="2:21" ht="21.75" customHeight="1">
      <c r="B23" s="9" t="s">
        <v>123</v>
      </c>
      <c r="D23" s="35">
        <v>232645.84</v>
      </c>
      <c r="E23" s="35"/>
      <c r="F23" s="35">
        <v>71266</v>
      </c>
      <c r="G23" s="36"/>
      <c r="H23" s="35">
        <v>143270.82</v>
      </c>
      <c r="I23" s="35"/>
      <c r="J23" s="35">
        <v>8717.2</v>
      </c>
      <c r="K23" s="35"/>
      <c r="L23" s="35">
        <v>3608.75</v>
      </c>
      <c r="M23" s="35"/>
      <c r="N23" s="35">
        <v>5783</v>
      </c>
      <c r="O23" s="35"/>
      <c r="P23" s="35" t="s">
        <v>25</v>
      </c>
      <c r="Q23" s="35"/>
      <c r="R23" s="35" t="s">
        <v>25</v>
      </c>
      <c r="S23" s="21"/>
      <c r="T23" s="21"/>
      <c r="U23" s="23" t="s">
        <v>40</v>
      </c>
    </row>
    <row r="24" spans="2:21" ht="21.75" customHeight="1">
      <c r="B24" s="9" t="s">
        <v>124</v>
      </c>
      <c r="D24" s="35">
        <v>150862.5</v>
      </c>
      <c r="E24" s="35"/>
      <c r="F24" s="35">
        <v>40465</v>
      </c>
      <c r="G24" s="36"/>
      <c r="H24" s="35">
        <v>109151.95</v>
      </c>
      <c r="I24" s="35"/>
      <c r="J24" s="35">
        <v>150.92</v>
      </c>
      <c r="K24" s="35"/>
      <c r="L24" s="35">
        <v>613</v>
      </c>
      <c r="M24" s="35"/>
      <c r="N24" s="35">
        <v>396.31</v>
      </c>
      <c r="O24" s="35"/>
      <c r="P24" s="35" t="s">
        <v>25</v>
      </c>
      <c r="Q24" s="35"/>
      <c r="R24" s="35">
        <v>85.26</v>
      </c>
      <c r="S24" s="21"/>
      <c r="T24" s="21"/>
      <c r="U24" s="23" t="s">
        <v>41</v>
      </c>
    </row>
    <row r="25" spans="2:21" ht="21.75" customHeight="1">
      <c r="B25" s="9" t="s">
        <v>125</v>
      </c>
      <c r="D25" s="35">
        <v>114829.79</v>
      </c>
      <c r="E25" s="35"/>
      <c r="F25" s="35">
        <v>70071</v>
      </c>
      <c r="G25" s="36"/>
      <c r="H25" s="35">
        <v>36866.26</v>
      </c>
      <c r="I25" s="35"/>
      <c r="J25" s="35">
        <v>122.46</v>
      </c>
      <c r="K25" s="35"/>
      <c r="L25" s="35">
        <v>1474.01</v>
      </c>
      <c r="M25" s="35"/>
      <c r="N25" s="35">
        <v>2804.8</v>
      </c>
      <c r="O25" s="35"/>
      <c r="P25" s="35">
        <v>224.57</v>
      </c>
      <c r="Q25" s="35"/>
      <c r="R25" s="35">
        <v>3266.6</v>
      </c>
      <c r="S25" s="37"/>
      <c r="T25" s="37"/>
      <c r="U25" s="23" t="s">
        <v>42</v>
      </c>
    </row>
    <row r="26" spans="2:21" ht="21.75" customHeight="1">
      <c r="B26" s="9" t="s">
        <v>126</v>
      </c>
      <c r="D26" s="35">
        <v>482716.06</v>
      </c>
      <c r="E26" s="35"/>
      <c r="F26" s="35">
        <v>235653.69</v>
      </c>
      <c r="G26" s="36"/>
      <c r="H26" s="35">
        <v>227945.73</v>
      </c>
      <c r="I26" s="35"/>
      <c r="J26" s="35">
        <v>4817.06</v>
      </c>
      <c r="K26" s="35"/>
      <c r="L26" s="35">
        <v>6797.61</v>
      </c>
      <c r="M26" s="35"/>
      <c r="N26" s="35">
        <v>2177.4</v>
      </c>
      <c r="O26" s="35"/>
      <c r="P26" s="35">
        <v>44</v>
      </c>
      <c r="Q26" s="35"/>
      <c r="R26" s="35">
        <v>5280.57</v>
      </c>
      <c r="S26" s="37"/>
      <c r="T26" s="37"/>
      <c r="U26" s="23" t="s">
        <v>43</v>
      </c>
    </row>
    <row r="27" spans="2:21" ht="21.75" customHeight="1">
      <c r="B27" s="9" t="s">
        <v>127</v>
      </c>
      <c r="D27" s="35">
        <v>329873.24</v>
      </c>
      <c r="E27" s="35"/>
      <c r="F27" s="35">
        <v>189278.4</v>
      </c>
      <c r="G27" s="36"/>
      <c r="H27" s="35">
        <v>115435.96</v>
      </c>
      <c r="I27" s="35"/>
      <c r="J27" s="35">
        <v>16469.18</v>
      </c>
      <c r="K27" s="35"/>
      <c r="L27" s="35">
        <v>1008.81</v>
      </c>
      <c r="M27" s="35"/>
      <c r="N27" s="35">
        <v>7559.26</v>
      </c>
      <c r="O27" s="35"/>
      <c r="P27" s="35">
        <v>121.5</v>
      </c>
      <c r="Q27" s="35"/>
      <c r="R27" s="35" t="s">
        <v>25</v>
      </c>
      <c r="S27" s="21"/>
      <c r="T27" s="21"/>
      <c r="U27" s="23" t="s">
        <v>44</v>
      </c>
    </row>
    <row r="28" spans="2:21" ht="21.75" customHeight="1">
      <c r="B28" s="9" t="s">
        <v>128</v>
      </c>
      <c r="D28" s="35">
        <v>586250.62</v>
      </c>
      <c r="E28" s="35"/>
      <c r="F28" s="35">
        <v>167254.96</v>
      </c>
      <c r="G28" s="36"/>
      <c r="H28" s="35">
        <v>69264.48</v>
      </c>
      <c r="I28" s="35"/>
      <c r="J28" s="35">
        <v>2421.15</v>
      </c>
      <c r="K28" s="35"/>
      <c r="L28" s="35">
        <v>1335.21</v>
      </c>
      <c r="M28" s="35"/>
      <c r="N28" s="35" t="s">
        <v>25</v>
      </c>
      <c r="O28" s="35"/>
      <c r="P28" s="35" t="s">
        <v>25</v>
      </c>
      <c r="Q28" s="35"/>
      <c r="R28" s="35">
        <v>345974.7</v>
      </c>
      <c r="S28" s="37"/>
      <c r="T28" s="37"/>
      <c r="U28" s="23" t="s">
        <v>45</v>
      </c>
    </row>
    <row r="29" spans="2:21" ht="21.75" customHeight="1">
      <c r="B29" s="9" t="s">
        <v>129</v>
      </c>
      <c r="D29" s="35">
        <v>626021.59</v>
      </c>
      <c r="E29" s="35"/>
      <c r="F29" s="35">
        <v>202617.5</v>
      </c>
      <c r="G29" s="36"/>
      <c r="H29" s="35">
        <v>266517.94</v>
      </c>
      <c r="I29" s="35"/>
      <c r="J29" s="35">
        <v>42429.3</v>
      </c>
      <c r="K29" s="35"/>
      <c r="L29" s="35">
        <v>93039.42</v>
      </c>
      <c r="M29" s="35"/>
      <c r="N29" s="35">
        <v>14985.1</v>
      </c>
      <c r="O29" s="35"/>
      <c r="P29" s="35" t="s">
        <v>25</v>
      </c>
      <c r="Q29" s="35"/>
      <c r="R29" s="35">
        <v>6432.4</v>
      </c>
      <c r="S29" s="37"/>
      <c r="T29" s="37"/>
      <c r="U29" s="23" t="s">
        <v>46</v>
      </c>
    </row>
    <row r="30" spans="2:21" ht="21.75" customHeight="1">
      <c r="B30" s="9" t="s">
        <v>130</v>
      </c>
      <c r="D30" s="35">
        <v>71393.71</v>
      </c>
      <c r="E30" s="35"/>
      <c r="F30" s="35">
        <v>45500</v>
      </c>
      <c r="G30" s="36"/>
      <c r="H30" s="35">
        <v>23498.81</v>
      </c>
      <c r="I30" s="35"/>
      <c r="J30" s="35">
        <v>118</v>
      </c>
      <c r="K30" s="35"/>
      <c r="L30" s="35">
        <v>185.9</v>
      </c>
      <c r="M30" s="35"/>
      <c r="N30" s="35">
        <v>2091</v>
      </c>
      <c r="O30" s="35"/>
      <c r="P30" s="35" t="s">
        <v>25</v>
      </c>
      <c r="Q30" s="35"/>
      <c r="R30" s="35" t="s">
        <v>25</v>
      </c>
      <c r="S30" s="21"/>
      <c r="T30" s="21"/>
      <c r="U30" s="23" t="s">
        <v>47</v>
      </c>
    </row>
    <row r="31" spans="2:21" ht="21.75" customHeight="1">
      <c r="B31" s="9" t="s">
        <v>131</v>
      </c>
      <c r="D31" s="35">
        <v>40504.05</v>
      </c>
      <c r="E31" s="35"/>
      <c r="F31" s="35">
        <v>21344</v>
      </c>
      <c r="G31" s="36"/>
      <c r="H31" s="35">
        <v>18760</v>
      </c>
      <c r="I31" s="35"/>
      <c r="J31" s="35" t="s">
        <v>25</v>
      </c>
      <c r="K31" s="35"/>
      <c r="L31" s="35">
        <v>360.8</v>
      </c>
      <c r="M31" s="35"/>
      <c r="N31" s="35">
        <v>25</v>
      </c>
      <c r="O31" s="35"/>
      <c r="P31" s="35" t="s">
        <v>25</v>
      </c>
      <c r="Q31" s="35"/>
      <c r="R31" s="35">
        <v>14.25</v>
      </c>
      <c r="S31" s="21"/>
      <c r="T31" s="21"/>
      <c r="U31" s="23" t="s">
        <v>48</v>
      </c>
    </row>
    <row r="32" spans="2:21" ht="21.75" customHeight="1">
      <c r="B32" s="9" t="s">
        <v>132</v>
      </c>
      <c r="D32" s="35">
        <v>4050878.71</v>
      </c>
      <c r="E32" s="35"/>
      <c r="F32" s="35">
        <v>1507465.5</v>
      </c>
      <c r="G32" s="36"/>
      <c r="H32" s="35">
        <v>2069673.4</v>
      </c>
      <c r="I32" s="35"/>
      <c r="J32" s="35">
        <v>327155.06</v>
      </c>
      <c r="K32" s="35"/>
      <c r="L32" s="35">
        <v>62742.71</v>
      </c>
      <c r="M32" s="35"/>
      <c r="N32" s="35">
        <v>27278.55</v>
      </c>
      <c r="O32" s="35"/>
      <c r="P32" s="35">
        <v>2430.97</v>
      </c>
      <c r="Q32" s="35"/>
      <c r="R32" s="35">
        <v>54132.4</v>
      </c>
      <c r="S32" s="37"/>
      <c r="T32" s="37"/>
      <c r="U32" s="23" t="s">
        <v>49</v>
      </c>
    </row>
    <row r="33" spans="2:21" ht="21.75" customHeight="1">
      <c r="B33" s="9" t="s">
        <v>133</v>
      </c>
      <c r="D33" s="35">
        <v>2152257.49</v>
      </c>
      <c r="E33" s="35"/>
      <c r="F33" s="35">
        <v>138697.5</v>
      </c>
      <c r="G33" s="36"/>
      <c r="H33" s="35">
        <v>1688594.21</v>
      </c>
      <c r="I33" s="35"/>
      <c r="J33" s="35">
        <v>210779.82</v>
      </c>
      <c r="K33" s="35"/>
      <c r="L33" s="35">
        <v>45382.95</v>
      </c>
      <c r="M33" s="35"/>
      <c r="N33" s="35">
        <v>32171.47</v>
      </c>
      <c r="O33" s="35"/>
      <c r="P33" s="35" t="s">
        <v>25</v>
      </c>
      <c r="Q33" s="35"/>
      <c r="R33" s="35">
        <v>36631.53</v>
      </c>
      <c r="S33" s="37"/>
      <c r="T33" s="37"/>
      <c r="U33" s="23" t="s">
        <v>50</v>
      </c>
    </row>
    <row r="34" spans="1:40" ht="4.5" customHeight="1">
      <c r="A34" s="29"/>
      <c r="B34" s="29"/>
      <c r="C34" s="29"/>
      <c r="D34" s="29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40"/>
      <c r="AM34" s="40"/>
      <c r="AN34" s="40"/>
    </row>
    <row r="35" spans="2:40" ht="4.5" customHeight="1">
      <c r="B35" s="24"/>
      <c r="C35" s="24"/>
      <c r="D35" s="24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40"/>
      <c r="AM35" s="40"/>
      <c r="AN35" s="40"/>
    </row>
    <row r="36" spans="1:91" s="41" customFormat="1" ht="21" customHeight="1">
      <c r="A36" s="49"/>
      <c r="B36" s="23" t="s">
        <v>214</v>
      </c>
      <c r="C36"/>
      <c r="G36" s="42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</row>
    <row r="37" spans="1:7" s="43" customFormat="1" ht="21" customHeight="1">
      <c r="A37"/>
      <c r="B37" s="23" t="s">
        <v>215</v>
      </c>
      <c r="C37"/>
      <c r="G37" s="46"/>
    </row>
  </sheetData>
  <mergeCells count="2">
    <mergeCell ref="A4:B7"/>
    <mergeCell ref="U4:U7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7"/>
  <sheetViews>
    <sheetView workbookViewId="0" topLeftCell="A2">
      <selection activeCell="E14" sqref="E14"/>
    </sheetView>
  </sheetViews>
  <sheetFormatPr defaultColWidth="9.140625" defaultRowHeight="21.75"/>
  <cols>
    <col min="1" max="1" width="22.7109375" style="1" customWidth="1"/>
    <col min="2" max="2" width="2.28125" style="1" customWidth="1"/>
    <col min="3" max="3" width="12.7109375" style="1" customWidth="1"/>
    <col min="4" max="4" width="2.28125" style="1" customWidth="1"/>
    <col min="5" max="5" width="12.7109375" style="1" customWidth="1"/>
    <col min="6" max="6" width="2.28125" style="0" customWidth="1"/>
    <col min="7" max="7" width="12.7109375" style="1" customWidth="1"/>
    <col min="8" max="8" width="2.28125" style="1" customWidth="1"/>
    <col min="9" max="9" width="12.7109375" style="1" customWidth="1"/>
    <col min="10" max="10" width="2.28125" style="1" customWidth="1"/>
    <col min="11" max="11" width="12.7109375" style="1" customWidth="1"/>
    <col min="12" max="12" width="2.28125" style="1" customWidth="1"/>
    <col min="13" max="13" width="12.7109375" style="1" customWidth="1"/>
    <col min="14" max="14" width="2.28125" style="1" customWidth="1"/>
    <col min="15" max="15" width="12.7109375" style="1" customWidth="1"/>
    <col min="16" max="16" width="2.28125" style="1" customWidth="1"/>
    <col min="17" max="17" width="12.7109375" style="1" customWidth="1"/>
    <col min="18" max="18" width="2.28125" style="1" customWidth="1"/>
    <col min="19" max="19" width="23.7109375" style="1" customWidth="1"/>
    <col min="20" max="16384" width="13.7109375" style="1" customWidth="1"/>
  </cols>
  <sheetData>
    <row r="1" s="2" customFormat="1" ht="19.5" customHeight="1">
      <c r="A1" s="2" t="s">
        <v>188</v>
      </c>
    </row>
    <row r="2" s="2" customFormat="1" ht="19.5" customHeight="1">
      <c r="A2" s="2" t="s">
        <v>187</v>
      </c>
    </row>
    <row r="3" s="2" customFormat="1" ht="16.5" customHeight="1">
      <c r="S3" s="4" t="s">
        <v>189</v>
      </c>
    </row>
    <row r="4" spans="1:19" ht="19.5" customHeight="1">
      <c r="A4" s="55" t="s">
        <v>106</v>
      </c>
      <c r="B4" s="17"/>
      <c r="C4" s="58" t="s">
        <v>104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17"/>
      <c r="S4" s="55" t="s">
        <v>107</v>
      </c>
    </row>
    <row r="5" spans="1:19" ht="16.5" customHeight="1">
      <c r="A5" s="56"/>
      <c r="B5" s="18"/>
      <c r="C5" s="59" t="s">
        <v>105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18"/>
      <c r="S5" s="56"/>
    </row>
    <row r="6" spans="1:19" ht="20.25" customHeight="1">
      <c r="A6" s="56"/>
      <c r="B6" s="18"/>
      <c r="C6" s="20" t="s">
        <v>0</v>
      </c>
      <c r="D6" s="18"/>
      <c r="E6" s="20" t="s">
        <v>1</v>
      </c>
      <c r="F6" s="18"/>
      <c r="G6" s="20" t="s">
        <v>2</v>
      </c>
      <c r="H6" s="18"/>
      <c r="I6" s="20" t="s">
        <v>3</v>
      </c>
      <c r="J6" s="18"/>
      <c r="K6" s="20" t="s">
        <v>4</v>
      </c>
      <c r="L6" s="18"/>
      <c r="M6" s="20" t="s">
        <v>5</v>
      </c>
      <c r="N6" s="20"/>
      <c r="O6" s="20" t="s">
        <v>6</v>
      </c>
      <c r="P6" s="20"/>
      <c r="Q6" s="20" t="s">
        <v>7</v>
      </c>
      <c r="R6" s="18"/>
      <c r="S6" s="56"/>
    </row>
    <row r="7" spans="1:19" ht="19.5" customHeight="1">
      <c r="A7" s="56"/>
      <c r="B7" s="18"/>
      <c r="C7" s="20" t="s">
        <v>8</v>
      </c>
      <c r="D7" s="18"/>
      <c r="E7" s="20" t="s">
        <v>9</v>
      </c>
      <c r="F7" s="18"/>
      <c r="G7" s="20" t="s">
        <v>10</v>
      </c>
      <c r="H7" s="18"/>
      <c r="I7" s="20" t="s">
        <v>11</v>
      </c>
      <c r="J7" s="18"/>
      <c r="K7" s="20" t="s">
        <v>12</v>
      </c>
      <c r="L7" s="18"/>
      <c r="M7" s="20" t="s">
        <v>13</v>
      </c>
      <c r="N7" s="20"/>
      <c r="O7" s="20" t="s">
        <v>14</v>
      </c>
      <c r="P7" s="20"/>
      <c r="Q7" s="20" t="s">
        <v>15</v>
      </c>
      <c r="R7" s="18"/>
      <c r="S7" s="56"/>
    </row>
    <row r="8" spans="1:19" ht="16.5" customHeight="1">
      <c r="A8" s="56"/>
      <c r="B8" s="18"/>
      <c r="C8" s="18" t="s">
        <v>16</v>
      </c>
      <c r="D8" s="18"/>
      <c r="E8" s="18" t="s">
        <v>16</v>
      </c>
      <c r="F8" s="18"/>
      <c r="G8" s="20" t="s">
        <v>17</v>
      </c>
      <c r="H8" s="18"/>
      <c r="I8" s="20" t="s">
        <v>18</v>
      </c>
      <c r="J8" s="18"/>
      <c r="K8" s="20" t="s">
        <v>19</v>
      </c>
      <c r="L8" s="18"/>
      <c r="M8" s="20" t="s">
        <v>16</v>
      </c>
      <c r="N8" s="20"/>
      <c r="O8" s="20" t="s">
        <v>16</v>
      </c>
      <c r="P8" s="20"/>
      <c r="Q8" s="20" t="s">
        <v>20</v>
      </c>
      <c r="R8" s="18"/>
      <c r="S8" s="56"/>
    </row>
    <row r="9" spans="1:19" ht="15" customHeight="1">
      <c r="A9" s="57"/>
      <c r="B9" s="5"/>
      <c r="C9" s="5" t="s">
        <v>16</v>
      </c>
      <c r="D9" s="5"/>
      <c r="E9" s="5" t="s">
        <v>16</v>
      </c>
      <c r="F9" s="5"/>
      <c r="G9" s="19" t="s">
        <v>21</v>
      </c>
      <c r="H9" s="5"/>
      <c r="I9" s="19" t="s">
        <v>22</v>
      </c>
      <c r="J9" s="5"/>
      <c r="K9" s="19" t="s">
        <v>23</v>
      </c>
      <c r="L9" s="5"/>
      <c r="M9" s="5" t="s">
        <v>16</v>
      </c>
      <c r="N9" s="5"/>
      <c r="O9" s="5" t="s">
        <v>16</v>
      </c>
      <c r="P9" s="5"/>
      <c r="Q9" s="5" t="s">
        <v>16</v>
      </c>
      <c r="R9" s="5"/>
      <c r="S9" s="57"/>
    </row>
    <row r="10" spans="1:19" s="2" customFormat="1" ht="18" customHeight="1">
      <c r="A10" s="8" t="s">
        <v>108</v>
      </c>
      <c r="C10" s="14">
        <f>17159500.83/1000</f>
        <v>17159.500829999997</v>
      </c>
      <c r="D10" s="14"/>
      <c r="E10" s="14">
        <f>5164677.52/1000</f>
        <v>5164.677519999999</v>
      </c>
      <c r="F10" s="15"/>
      <c r="G10" s="14">
        <f>9169306.15/1000</f>
        <v>9169.30615</v>
      </c>
      <c r="H10" s="14"/>
      <c r="I10" s="14">
        <f>1357559.07/1000</f>
        <v>1357.55907</v>
      </c>
      <c r="J10" s="14"/>
      <c r="K10" s="14">
        <f>450880.27/1000</f>
        <v>450.88027</v>
      </c>
      <c r="L10" s="14"/>
      <c r="M10" s="14">
        <f>202087.12/1000</f>
        <v>202.08712</v>
      </c>
      <c r="N10" s="14"/>
      <c r="O10" s="14">
        <f>113310.87/1000</f>
        <v>113.31087</v>
      </c>
      <c r="P10" s="14"/>
      <c r="Q10" s="14">
        <f>701679.82/1000</f>
        <v>701.67982</v>
      </c>
      <c r="R10" s="16"/>
      <c r="S10" s="2" t="s">
        <v>24</v>
      </c>
    </row>
    <row r="11" spans="1:19" ht="18" customHeight="1">
      <c r="A11" s="9" t="s">
        <v>109</v>
      </c>
      <c r="C11" s="10">
        <f>160769.01/1000</f>
        <v>160.76901</v>
      </c>
      <c r="D11" s="10"/>
      <c r="E11" s="10">
        <f>33034.5/1000</f>
        <v>33.0345</v>
      </c>
      <c r="F11" s="11"/>
      <c r="G11" s="10">
        <f>110002.02/1000</f>
        <v>110.00202</v>
      </c>
      <c r="H11" s="10"/>
      <c r="I11" s="10">
        <f>8816.28/1000</f>
        <v>8.81628</v>
      </c>
      <c r="J11" s="10"/>
      <c r="K11" s="10">
        <f>5410.21/1000</f>
        <v>5.41021</v>
      </c>
      <c r="L11" s="10"/>
      <c r="M11" s="10">
        <f>2072/1000</f>
        <v>2.072</v>
      </c>
      <c r="N11" s="10"/>
      <c r="O11" s="10" t="s">
        <v>25</v>
      </c>
      <c r="P11" s="10"/>
      <c r="Q11" s="10">
        <f>1434/1000</f>
        <v>1.434</v>
      </c>
      <c r="R11" s="3"/>
      <c r="S11" s="1" t="s">
        <v>26</v>
      </c>
    </row>
    <row r="12" spans="1:19" ht="18" customHeight="1">
      <c r="A12" s="9" t="s">
        <v>110</v>
      </c>
      <c r="C12" s="10">
        <f>137474.06/1000</f>
        <v>137.47406</v>
      </c>
      <c r="D12" s="10"/>
      <c r="E12" s="10">
        <f>39120.2/1000</f>
        <v>39.1202</v>
      </c>
      <c r="F12" s="11"/>
      <c r="G12" s="10">
        <f>79301.42/1000</f>
        <v>79.30142</v>
      </c>
      <c r="H12" s="10"/>
      <c r="I12" s="10">
        <f>449.6/1000</f>
        <v>0.4496</v>
      </c>
      <c r="J12" s="10"/>
      <c r="K12" s="10">
        <f>18494.25/1000</f>
        <v>18.49425</v>
      </c>
      <c r="L12" s="10"/>
      <c r="M12" s="10">
        <f>108.58/1000</f>
        <v>0.10858</v>
      </c>
      <c r="N12" s="10"/>
      <c r="O12" s="10" t="s">
        <v>25</v>
      </c>
      <c r="P12" s="10"/>
      <c r="Q12" s="10" t="s">
        <v>25</v>
      </c>
      <c r="R12" s="4"/>
      <c r="S12" s="1" t="s">
        <v>27</v>
      </c>
    </row>
    <row r="13" spans="1:19" ht="18" customHeight="1">
      <c r="A13" s="9" t="s">
        <v>111</v>
      </c>
      <c r="C13" s="10">
        <f>3352/1000</f>
        <v>3.352</v>
      </c>
      <c r="D13" s="10"/>
      <c r="E13" s="10" t="s">
        <v>25</v>
      </c>
      <c r="F13" s="11"/>
      <c r="G13" s="10">
        <f>2973.38/1000</f>
        <v>2.97338</v>
      </c>
      <c r="H13" s="10"/>
      <c r="I13" s="10">
        <f>282.59/1000</f>
        <v>0.28258999999999995</v>
      </c>
      <c r="J13" s="10"/>
      <c r="K13" s="10">
        <f>53.97/1000</f>
        <v>0.05397</v>
      </c>
      <c r="L13" s="10"/>
      <c r="M13" s="10" t="s">
        <v>25</v>
      </c>
      <c r="N13" s="10"/>
      <c r="O13" s="10" t="s">
        <v>25</v>
      </c>
      <c r="P13" s="10"/>
      <c r="Q13" s="10">
        <f>42.05/1000</f>
        <v>0.04205</v>
      </c>
      <c r="R13" s="4"/>
      <c r="S13" s="1" t="s">
        <v>28</v>
      </c>
    </row>
    <row r="14" spans="1:19" ht="18" customHeight="1">
      <c r="A14" s="9" t="s">
        <v>112</v>
      </c>
      <c r="C14" s="10">
        <f>472153.91/1000</f>
        <v>472.15391</v>
      </c>
      <c r="D14" s="10"/>
      <c r="E14" s="10">
        <f>160787.94/1000</f>
        <v>160.78794</v>
      </c>
      <c r="F14" s="11"/>
      <c r="G14" s="10">
        <f>276513.31/1000</f>
        <v>276.51331</v>
      </c>
      <c r="H14" s="10"/>
      <c r="I14" s="10">
        <v>15196.7</v>
      </c>
      <c r="J14" s="10"/>
      <c r="K14" s="10">
        <f>15545.8/1000</f>
        <v>15.5458</v>
      </c>
      <c r="L14" s="10"/>
      <c r="M14" s="10">
        <f>4110.17/1000</f>
        <v>4.11017</v>
      </c>
      <c r="N14" s="10"/>
      <c r="O14" s="10" t="s">
        <v>25</v>
      </c>
      <c r="P14" s="10"/>
      <c r="Q14" s="10" t="s">
        <v>25</v>
      </c>
      <c r="R14" s="4"/>
      <c r="S14" s="1" t="s">
        <v>29</v>
      </c>
    </row>
    <row r="15" spans="1:19" ht="18" customHeight="1">
      <c r="A15" s="9" t="s">
        <v>113</v>
      </c>
      <c r="C15" s="10">
        <f>82690.16/1000</f>
        <v>82.69016</v>
      </c>
      <c r="D15" s="10"/>
      <c r="E15" s="10">
        <f>31850/1000</f>
        <v>31.85</v>
      </c>
      <c r="F15" s="11"/>
      <c r="G15" s="10">
        <f>45531.84/1000</f>
        <v>45.531839999999995</v>
      </c>
      <c r="H15" s="10"/>
      <c r="I15" s="10">
        <f>1144/1000</f>
        <v>1.144</v>
      </c>
      <c r="J15" s="10"/>
      <c r="K15" s="10">
        <f>2330.72/1000</f>
        <v>2.33072</v>
      </c>
      <c r="L15" s="10"/>
      <c r="M15" s="10">
        <f>1833.6/1000</f>
        <v>1.8336</v>
      </c>
      <c r="N15" s="10"/>
      <c r="O15" s="10" t="s">
        <v>25</v>
      </c>
      <c r="P15" s="10"/>
      <c r="Q15" s="10" t="s">
        <v>25</v>
      </c>
      <c r="R15" s="4"/>
      <c r="S15" s="1" t="s">
        <v>30</v>
      </c>
    </row>
    <row r="16" spans="1:19" ht="18" customHeight="1">
      <c r="A16" s="9" t="s">
        <v>114</v>
      </c>
      <c r="C16" s="10">
        <f>192475.4/1000</f>
        <v>192.4754</v>
      </c>
      <c r="D16" s="10"/>
      <c r="E16" s="10">
        <f>90395.43/1000</f>
        <v>90.39542999999999</v>
      </c>
      <c r="F16" s="11"/>
      <c r="G16" s="10">
        <f>89029.6/1000</f>
        <v>89.0296</v>
      </c>
      <c r="H16" s="10"/>
      <c r="I16" s="10">
        <f>6604/1000</f>
        <v>6.604</v>
      </c>
      <c r="J16" s="10"/>
      <c r="K16" s="10">
        <f>1589.32/1000</f>
        <v>1.5893199999999998</v>
      </c>
      <c r="L16" s="10"/>
      <c r="M16" s="10">
        <f>2668.8/1000</f>
        <v>2.6688</v>
      </c>
      <c r="N16" s="10"/>
      <c r="O16" s="10" t="s">
        <v>25</v>
      </c>
      <c r="P16" s="10"/>
      <c r="Q16" s="10">
        <f>2188.24/1000</f>
        <v>2.18824</v>
      </c>
      <c r="R16" s="3"/>
      <c r="S16" s="1" t="s">
        <v>31</v>
      </c>
    </row>
    <row r="17" spans="1:19" ht="18" customHeight="1">
      <c r="A17" s="9" t="s">
        <v>115</v>
      </c>
      <c r="C17" s="10">
        <f>32344/1000</f>
        <v>32.344</v>
      </c>
      <c r="D17" s="10"/>
      <c r="E17" s="10">
        <f>10800/1000</f>
        <v>10.8</v>
      </c>
      <c r="F17" s="11"/>
      <c r="G17" s="10">
        <f>21360/1000</f>
        <v>21.36</v>
      </c>
      <c r="H17" s="10"/>
      <c r="I17" s="10">
        <f>40/1000</f>
        <v>0.04</v>
      </c>
      <c r="J17" s="10"/>
      <c r="K17" s="10">
        <f>144/1000</f>
        <v>0.144</v>
      </c>
      <c r="L17" s="10"/>
      <c r="M17" s="10" t="s">
        <v>25</v>
      </c>
      <c r="N17" s="10"/>
      <c r="O17" s="10" t="s">
        <v>25</v>
      </c>
      <c r="P17" s="10"/>
      <c r="Q17" s="10" t="s">
        <v>25</v>
      </c>
      <c r="R17" s="4"/>
      <c r="S17" s="1" t="s">
        <v>32</v>
      </c>
    </row>
    <row r="18" spans="1:19" ht="18" customHeight="1">
      <c r="A18" s="9" t="s">
        <v>116</v>
      </c>
      <c r="C18" s="10">
        <f>127614.1/1000</f>
        <v>127.61410000000001</v>
      </c>
      <c r="D18" s="10"/>
      <c r="E18" s="10">
        <f>73455/1000</f>
        <v>73.455</v>
      </c>
      <c r="F18" s="11"/>
      <c r="G18" s="10">
        <f>50140/1000</f>
        <v>50.14</v>
      </c>
      <c r="H18" s="10"/>
      <c r="I18" s="10">
        <f>2027.7/1000</f>
        <v>2.0277</v>
      </c>
      <c r="J18" s="10"/>
      <c r="K18" s="10">
        <f>1991.4/1000</f>
        <v>1.9914</v>
      </c>
      <c r="L18" s="10"/>
      <c r="M18" s="10" t="s">
        <v>25</v>
      </c>
      <c r="N18" s="10"/>
      <c r="O18" s="10" t="s">
        <v>25</v>
      </c>
      <c r="P18" s="10"/>
      <c r="Q18" s="10" t="s">
        <v>25</v>
      </c>
      <c r="R18" s="4"/>
      <c r="S18" s="1" t="s">
        <v>33</v>
      </c>
    </row>
    <row r="19" spans="1:19" ht="18" customHeight="1">
      <c r="A19" s="9" t="s">
        <v>117</v>
      </c>
      <c r="C19" s="10">
        <f>103489.77/1000</f>
        <v>103.48977000000001</v>
      </c>
      <c r="D19" s="10"/>
      <c r="E19" s="10">
        <f>64201.63/1000</f>
        <v>64.20163</v>
      </c>
      <c r="F19" s="11"/>
      <c r="G19" s="10">
        <f>32395.52/1000</f>
        <v>32.39552</v>
      </c>
      <c r="H19" s="10"/>
      <c r="I19" s="10">
        <f>3073.89/1000</f>
        <v>3.07389</v>
      </c>
      <c r="J19" s="10"/>
      <c r="K19" s="10">
        <f>1112.7/1000</f>
        <v>1.1127</v>
      </c>
      <c r="L19" s="10"/>
      <c r="M19" s="10">
        <f>1200/1000</f>
        <v>1.2</v>
      </c>
      <c r="N19" s="10"/>
      <c r="O19" s="10" t="s">
        <v>25</v>
      </c>
      <c r="P19" s="10"/>
      <c r="Q19" s="10">
        <f>1506.03/1000</f>
        <v>1.50603</v>
      </c>
      <c r="R19" s="3"/>
      <c r="S19" s="1" t="s">
        <v>34</v>
      </c>
    </row>
    <row r="20" spans="1:19" ht="18" customHeight="1">
      <c r="A20" s="9" t="s">
        <v>118</v>
      </c>
      <c r="C20" s="10">
        <f>5379307.15/1000</f>
        <v>5379.307150000001</v>
      </c>
      <c r="D20" s="10"/>
      <c r="E20" s="10">
        <f>1124439.98/1000</f>
        <v>1124.4399799999999</v>
      </c>
      <c r="F20" s="11"/>
      <c r="G20" s="10">
        <f>3031236.27/1000</f>
        <v>3031.23627</v>
      </c>
      <c r="H20" s="10"/>
      <c r="I20" s="10">
        <f>620499.07/1000</f>
        <v>620.49907</v>
      </c>
      <c r="J20" s="10"/>
      <c r="K20" s="10">
        <f>160054.11/1000</f>
        <v>160.05410999999998</v>
      </c>
      <c r="L20" s="10"/>
      <c r="M20" s="10">
        <f>88811.43/1000</f>
        <v>88.81142999999999</v>
      </c>
      <c r="N20" s="10"/>
      <c r="O20" s="10">
        <f>110153.83/1000</f>
        <v>110.15383</v>
      </c>
      <c r="P20" s="10"/>
      <c r="Q20" s="10">
        <f>244112.46/1000</f>
        <v>244.11246</v>
      </c>
      <c r="R20" s="3"/>
      <c r="S20" s="1" t="s">
        <v>35</v>
      </c>
    </row>
    <row r="21" spans="1:19" ht="18" customHeight="1">
      <c r="A21" s="9" t="s">
        <v>119</v>
      </c>
      <c r="C21" s="10">
        <f>608141.51/1000</f>
        <v>608.14151</v>
      </c>
      <c r="D21" s="10"/>
      <c r="E21" s="10">
        <f>410636/1000</f>
        <v>410.636</v>
      </c>
      <c r="F21" s="11"/>
      <c r="G21" s="10">
        <f>195224.87/1000</f>
        <v>195.22486999999998</v>
      </c>
      <c r="H21" s="10"/>
      <c r="I21" s="10">
        <f>367.06/1000</f>
        <v>0.36706</v>
      </c>
      <c r="J21" s="10"/>
      <c r="K21" s="10">
        <f>278.1/1000</f>
        <v>0.2781</v>
      </c>
      <c r="L21" s="10"/>
      <c r="M21" s="10">
        <f>1635.4/1000</f>
        <v>1.6354000000000002</v>
      </c>
      <c r="N21" s="10"/>
      <c r="O21" s="10" t="s">
        <v>25</v>
      </c>
      <c r="P21" s="10"/>
      <c r="Q21" s="10">
        <f>0.07/1000</f>
        <v>7.000000000000001E-05</v>
      </c>
      <c r="R21" s="4"/>
      <c r="S21" s="1" t="s">
        <v>36</v>
      </c>
    </row>
    <row r="22" spans="1:19" ht="18" customHeight="1">
      <c r="A22" s="9" t="s">
        <v>120</v>
      </c>
      <c r="C22" s="10">
        <f>812936.03/1000</f>
        <v>812.9360300000001</v>
      </c>
      <c r="D22" s="10"/>
      <c r="E22" s="10">
        <f>319298.15/1000</f>
        <v>319.29815</v>
      </c>
      <c r="F22" s="11"/>
      <c r="G22" s="10">
        <f>387745.13/1000</f>
        <v>387.74513</v>
      </c>
      <c r="H22" s="10"/>
      <c r="I22" s="10">
        <f>76163/1000</f>
        <v>76.163</v>
      </c>
      <c r="J22" s="10"/>
      <c r="K22" s="10">
        <f>26341.05/1000</f>
        <v>26.34105</v>
      </c>
      <c r="L22" s="10"/>
      <c r="M22" s="10">
        <f>2473.62/1000</f>
        <v>2.47362</v>
      </c>
      <c r="N22" s="10"/>
      <c r="O22" s="10">
        <f>336/1000</f>
        <v>0.336</v>
      </c>
      <c r="P22" s="10"/>
      <c r="Q22" s="10">
        <f>579.09/1000</f>
        <v>0.57909</v>
      </c>
      <c r="R22" s="4"/>
      <c r="S22" s="1" t="s">
        <v>37</v>
      </c>
    </row>
    <row r="23" spans="1:19" ht="18" customHeight="1">
      <c r="A23" s="9" t="s">
        <v>121</v>
      </c>
      <c r="C23" s="10">
        <f>118447.01/1000</f>
        <v>118.44700999999999</v>
      </c>
      <c r="D23" s="10"/>
      <c r="E23" s="10">
        <f>101000/1000</f>
        <v>101</v>
      </c>
      <c r="F23" s="11"/>
      <c r="G23" s="10">
        <f>13383.55/1000</f>
        <v>13.38355</v>
      </c>
      <c r="H23" s="10"/>
      <c r="I23" s="10">
        <f>3073.46/1000</f>
        <v>3.07346</v>
      </c>
      <c r="J23" s="10"/>
      <c r="K23" s="10">
        <f>894/1000</f>
        <v>0.894</v>
      </c>
      <c r="L23" s="10"/>
      <c r="M23" s="10">
        <f>96/1000</f>
        <v>0.096</v>
      </c>
      <c r="N23" s="10"/>
      <c r="O23" s="10" t="s">
        <v>25</v>
      </c>
      <c r="P23" s="10"/>
      <c r="Q23" s="10" t="s">
        <v>25</v>
      </c>
      <c r="R23" s="4"/>
      <c r="S23" s="1" t="s">
        <v>38</v>
      </c>
    </row>
    <row r="24" spans="1:19" ht="18" customHeight="1">
      <c r="A24" s="9" t="s">
        <v>122</v>
      </c>
      <c r="C24" s="10">
        <f>90073.15/1000</f>
        <v>90.07315</v>
      </c>
      <c r="D24" s="10"/>
      <c r="E24" s="10">
        <f>16045/1000</f>
        <v>16.045</v>
      </c>
      <c r="F24" s="11"/>
      <c r="G24" s="10">
        <f>65489.7/1000</f>
        <v>65.4897</v>
      </c>
      <c r="H24" s="10"/>
      <c r="I24" s="10">
        <f>6641.5/1000</f>
        <v>6.6415</v>
      </c>
      <c r="J24" s="10"/>
      <c r="K24" s="10">
        <f>91.4/1000</f>
        <v>0.09140000000000001</v>
      </c>
      <c r="L24" s="10"/>
      <c r="M24" s="10">
        <f>1805.55/1000</f>
        <v>1.80555</v>
      </c>
      <c r="N24" s="10"/>
      <c r="O24" s="10" t="s">
        <v>25</v>
      </c>
      <c r="P24" s="10"/>
      <c r="Q24" s="10" t="s">
        <v>25</v>
      </c>
      <c r="R24" s="4"/>
      <c r="S24" s="1" t="s">
        <v>39</v>
      </c>
    </row>
    <row r="25" spans="1:19" ht="18" customHeight="1">
      <c r="A25" s="9" t="s">
        <v>123</v>
      </c>
      <c r="C25" s="10">
        <f>232645.84/1000</f>
        <v>232.64584</v>
      </c>
      <c r="D25" s="10"/>
      <c r="E25" s="10">
        <f>71266/1000</f>
        <v>71.266</v>
      </c>
      <c r="F25" s="11"/>
      <c r="G25" s="10">
        <f>143270.82/1000</f>
        <v>143.27082000000001</v>
      </c>
      <c r="H25" s="10"/>
      <c r="I25" s="10">
        <f>8717.27/1000</f>
        <v>8.717270000000001</v>
      </c>
      <c r="J25" s="10"/>
      <c r="K25" s="10">
        <f>3608.75/1000</f>
        <v>3.60875</v>
      </c>
      <c r="L25" s="10"/>
      <c r="M25" s="10">
        <f>5783/1000</f>
        <v>5.783</v>
      </c>
      <c r="N25" s="10"/>
      <c r="O25" s="10" t="s">
        <v>25</v>
      </c>
      <c r="P25" s="10"/>
      <c r="Q25" s="10" t="s">
        <v>25</v>
      </c>
      <c r="R25" s="4"/>
      <c r="S25" s="1" t="s">
        <v>40</v>
      </c>
    </row>
    <row r="26" spans="1:19" ht="18" customHeight="1">
      <c r="A26" s="9" t="s">
        <v>124</v>
      </c>
      <c r="C26" s="10">
        <f>150862.5/1000</f>
        <v>150.8625</v>
      </c>
      <c r="D26" s="10"/>
      <c r="E26" s="10">
        <f>40465/1000</f>
        <v>40.465</v>
      </c>
      <c r="F26" s="11"/>
      <c r="G26" s="10">
        <f>109151.95/1000</f>
        <v>109.15195</v>
      </c>
      <c r="H26" s="10"/>
      <c r="I26" s="10">
        <f>150.92/1000</f>
        <v>0.15092</v>
      </c>
      <c r="J26" s="10"/>
      <c r="K26" s="10">
        <f>613.07/1000</f>
        <v>0.61307</v>
      </c>
      <c r="L26" s="10"/>
      <c r="M26" s="10">
        <f>396.31/1000</f>
        <v>0.39631</v>
      </c>
      <c r="N26" s="10"/>
      <c r="O26" s="10" t="s">
        <v>25</v>
      </c>
      <c r="P26" s="10"/>
      <c r="Q26" s="10">
        <f>85.26/1000</f>
        <v>0.08526</v>
      </c>
      <c r="R26" s="4"/>
      <c r="S26" s="1" t="s">
        <v>41</v>
      </c>
    </row>
    <row r="27" spans="1:19" ht="18" customHeight="1">
      <c r="A27" s="9" t="s">
        <v>125</v>
      </c>
      <c r="C27" s="10">
        <f>114829.79/1000</f>
        <v>114.82978999999999</v>
      </c>
      <c r="D27" s="10"/>
      <c r="E27" s="10">
        <f>70071/1000</f>
        <v>70.071</v>
      </c>
      <c r="F27" s="11"/>
      <c r="G27" s="10">
        <f>36866.26/1000</f>
        <v>36.866260000000004</v>
      </c>
      <c r="H27" s="10"/>
      <c r="I27" s="10">
        <f>122.46/1000</f>
        <v>0.12246</v>
      </c>
      <c r="J27" s="10"/>
      <c r="K27" s="10">
        <f>1474.01/1000</f>
        <v>1.47401</v>
      </c>
      <c r="L27" s="10"/>
      <c r="M27" s="10">
        <f>2804.89/1000</f>
        <v>2.80489</v>
      </c>
      <c r="N27" s="10"/>
      <c r="O27" s="10">
        <f>224.57/1000</f>
        <v>0.22457</v>
      </c>
      <c r="P27" s="10"/>
      <c r="Q27" s="10">
        <f>3266.6/1000</f>
        <v>3.2666</v>
      </c>
      <c r="R27" s="3"/>
      <c r="S27" s="1" t="s">
        <v>42</v>
      </c>
    </row>
    <row r="28" spans="1:19" ht="18" customHeight="1">
      <c r="A28" s="9" t="s">
        <v>126</v>
      </c>
      <c r="C28" s="10">
        <f>482716.06/1000</f>
        <v>482.71605999999997</v>
      </c>
      <c r="D28" s="10"/>
      <c r="E28" s="10">
        <f>235653.69/1000</f>
        <v>235.65369</v>
      </c>
      <c r="F28" s="11"/>
      <c r="G28" s="10">
        <f>227945.73/1000</f>
        <v>227.94573</v>
      </c>
      <c r="H28" s="10"/>
      <c r="I28" s="10">
        <f>4817.06/1000</f>
        <v>4.817060000000001</v>
      </c>
      <c r="J28" s="10"/>
      <c r="K28" s="10">
        <f>6797.61/1000</f>
        <v>6.79761</v>
      </c>
      <c r="L28" s="10"/>
      <c r="M28" s="10">
        <f>2177.4/1000</f>
        <v>2.1774</v>
      </c>
      <c r="N28" s="10"/>
      <c r="O28" s="10">
        <f>44/1000</f>
        <v>0.044</v>
      </c>
      <c r="P28" s="10"/>
      <c r="Q28" s="10">
        <f>5280.57/1000</f>
        <v>5.28057</v>
      </c>
      <c r="R28" s="3"/>
      <c r="S28" s="1" t="s">
        <v>43</v>
      </c>
    </row>
    <row r="29" spans="1:19" ht="18" customHeight="1">
      <c r="A29" s="9" t="s">
        <v>127</v>
      </c>
      <c r="C29" s="10">
        <f>329873.24/1000</f>
        <v>329.87324</v>
      </c>
      <c r="D29" s="10"/>
      <c r="E29" s="10">
        <f>189278.52/1000</f>
        <v>189.27852</v>
      </c>
      <c r="F29" s="11"/>
      <c r="G29" s="10">
        <f>115435.96/1000</f>
        <v>115.43596000000001</v>
      </c>
      <c r="H29" s="10"/>
      <c r="I29" s="10">
        <f>16469.18/1000</f>
        <v>16.46918</v>
      </c>
      <c r="J29" s="10"/>
      <c r="K29" s="10">
        <f>1008.81/1000</f>
        <v>1.00881</v>
      </c>
      <c r="L29" s="10"/>
      <c r="M29" s="10">
        <v>7559.26</v>
      </c>
      <c r="N29" s="10"/>
      <c r="O29" s="10">
        <f>121.5/1000</f>
        <v>0.1215</v>
      </c>
      <c r="P29" s="10"/>
      <c r="Q29" s="10" t="s">
        <v>25</v>
      </c>
      <c r="R29" s="4"/>
      <c r="S29" s="1" t="s">
        <v>44</v>
      </c>
    </row>
    <row r="30" spans="1:19" ht="18" customHeight="1">
      <c r="A30" s="9" t="s">
        <v>128</v>
      </c>
      <c r="C30" s="10">
        <f>586250.62/1000</f>
        <v>586.25062</v>
      </c>
      <c r="D30" s="10"/>
      <c r="E30" s="10">
        <f>167254.96/1000</f>
        <v>167.25495999999998</v>
      </c>
      <c r="F30" s="11"/>
      <c r="G30" s="10">
        <f>69264.48/1000</f>
        <v>69.26447999999999</v>
      </c>
      <c r="H30" s="10"/>
      <c r="I30" s="10">
        <f>2421.15/1000</f>
        <v>2.42115</v>
      </c>
      <c r="J30" s="10"/>
      <c r="K30" s="10">
        <f>1335.21/1000</f>
        <v>1.33521</v>
      </c>
      <c r="L30" s="10"/>
      <c r="M30" s="10" t="s">
        <v>25</v>
      </c>
      <c r="N30" s="10"/>
      <c r="O30" s="10" t="s">
        <v>25</v>
      </c>
      <c r="P30" s="10"/>
      <c r="Q30" s="10">
        <f>345974.81/1000</f>
        <v>345.97481</v>
      </c>
      <c r="R30" s="3"/>
      <c r="S30" s="1" t="s">
        <v>45</v>
      </c>
    </row>
    <row r="31" spans="1:19" ht="18" customHeight="1">
      <c r="A31" s="9" t="s">
        <v>129</v>
      </c>
      <c r="C31" s="10">
        <f>626021.59/1000</f>
        <v>626.02159</v>
      </c>
      <c r="D31" s="10"/>
      <c r="E31" s="10">
        <f>202617.44/1000</f>
        <v>202.61744000000002</v>
      </c>
      <c r="F31" s="11"/>
      <c r="G31" s="10">
        <f>266517.94/1000</f>
        <v>266.51794</v>
      </c>
      <c r="H31" s="10"/>
      <c r="I31" s="10">
        <f>42429.3/1000</f>
        <v>42.429300000000005</v>
      </c>
      <c r="J31" s="10"/>
      <c r="K31" s="10">
        <f>93039.42/1000</f>
        <v>93.03941999999999</v>
      </c>
      <c r="L31" s="10"/>
      <c r="M31" s="10">
        <f>14985.1/1000</f>
        <v>14.985100000000001</v>
      </c>
      <c r="N31" s="10"/>
      <c r="O31" s="10" t="s">
        <v>25</v>
      </c>
      <c r="P31" s="10"/>
      <c r="Q31" s="10">
        <f>6432.4/1000</f>
        <v>6.4323999999999995</v>
      </c>
      <c r="R31" s="3"/>
      <c r="S31" s="1" t="s">
        <v>46</v>
      </c>
    </row>
    <row r="32" spans="1:19" ht="18" customHeight="1">
      <c r="A32" s="9" t="s">
        <v>130</v>
      </c>
      <c r="C32" s="10">
        <f>71393.71/1000</f>
        <v>71.39371000000001</v>
      </c>
      <c r="D32" s="10"/>
      <c r="E32" s="10">
        <f>45500/1000</f>
        <v>45.5</v>
      </c>
      <c r="F32" s="11"/>
      <c r="G32" s="10">
        <f>23498.81/1000</f>
        <v>23.498810000000002</v>
      </c>
      <c r="H32" s="10"/>
      <c r="I32" s="10">
        <f>118/1000</f>
        <v>0.118</v>
      </c>
      <c r="J32" s="10"/>
      <c r="K32" s="10">
        <f>185.9/1000</f>
        <v>0.1859</v>
      </c>
      <c r="L32" s="10"/>
      <c r="M32" s="10">
        <f>2091/1000</f>
        <v>2.091</v>
      </c>
      <c r="N32" s="10"/>
      <c r="O32" s="10" t="s">
        <v>25</v>
      </c>
      <c r="P32" s="10"/>
      <c r="Q32" s="10" t="s">
        <v>25</v>
      </c>
      <c r="R32" s="4"/>
      <c r="S32" s="1" t="s">
        <v>47</v>
      </c>
    </row>
    <row r="33" spans="1:19" ht="18" customHeight="1">
      <c r="A33" s="9" t="s">
        <v>131</v>
      </c>
      <c r="C33" s="10">
        <f>40504.05/1000</f>
        <v>40.50405</v>
      </c>
      <c r="D33" s="10"/>
      <c r="E33" s="10">
        <f>21344/1000</f>
        <v>21.344</v>
      </c>
      <c r="F33" s="11"/>
      <c r="G33" s="10">
        <f>18760/1000</f>
        <v>18.76</v>
      </c>
      <c r="H33" s="10"/>
      <c r="I33" s="10" t="s">
        <v>25</v>
      </c>
      <c r="J33" s="10"/>
      <c r="K33" s="10">
        <f>360.8/1000</f>
        <v>0.3608</v>
      </c>
      <c r="L33" s="10"/>
      <c r="M33" s="10">
        <f>25/1000</f>
        <v>0.025</v>
      </c>
      <c r="N33" s="10"/>
      <c r="O33" s="10" t="s">
        <v>25</v>
      </c>
      <c r="P33" s="10"/>
      <c r="Q33" s="10">
        <f>14.25/1000</f>
        <v>0.01425</v>
      </c>
      <c r="R33" s="4"/>
      <c r="S33" s="1" t="s">
        <v>48</v>
      </c>
    </row>
    <row r="34" spans="1:19" ht="18" customHeight="1">
      <c r="A34" s="9" t="s">
        <v>132</v>
      </c>
      <c r="C34" s="10">
        <f>4050878.71/1000</f>
        <v>4050.87871</v>
      </c>
      <c r="D34" s="10"/>
      <c r="E34" s="10">
        <f>1507465.58/1000</f>
        <v>1507.46558</v>
      </c>
      <c r="F34" s="11"/>
      <c r="G34" s="10">
        <f>2069673.4/1000</f>
        <v>2069.6734</v>
      </c>
      <c r="H34" s="10"/>
      <c r="I34" s="10">
        <f>327155.06/1000</f>
        <v>327.15506</v>
      </c>
      <c r="J34" s="10"/>
      <c r="K34" s="10">
        <f>62742.71/1000</f>
        <v>62.74271</v>
      </c>
      <c r="L34" s="10"/>
      <c r="M34" s="10">
        <f>27278.55/1000</f>
        <v>27.27855</v>
      </c>
      <c r="N34" s="10"/>
      <c r="O34" s="10">
        <f>2430.97/1000</f>
        <v>2.43097</v>
      </c>
      <c r="P34" s="10"/>
      <c r="Q34" s="10">
        <f>54132.45/1000</f>
        <v>54.13245</v>
      </c>
      <c r="R34" s="3"/>
      <c r="S34" s="1" t="s">
        <v>49</v>
      </c>
    </row>
    <row r="35" spans="1:19" ht="18" customHeight="1">
      <c r="A35" s="9" t="s">
        <v>133</v>
      </c>
      <c r="C35" s="10">
        <f>2152257.49/1000</f>
        <v>2152.2574900000004</v>
      </c>
      <c r="D35" s="10"/>
      <c r="E35" s="10">
        <f>138697.5/1000</f>
        <v>138.6975</v>
      </c>
      <c r="F35" s="11"/>
      <c r="G35" s="10">
        <f>1688594.21/1000</f>
        <v>1688.59421</v>
      </c>
      <c r="H35" s="10"/>
      <c r="I35" s="10">
        <f>210779.82/1000</f>
        <v>210.77982</v>
      </c>
      <c r="J35" s="10"/>
      <c r="K35" s="10">
        <f>45382.95/1000</f>
        <v>45.382949999999994</v>
      </c>
      <c r="L35" s="10"/>
      <c r="M35" s="10">
        <f>32171.47/1000</f>
        <v>32.17147</v>
      </c>
      <c r="N35" s="10"/>
      <c r="O35" s="10" t="s">
        <v>25</v>
      </c>
      <c r="P35" s="10"/>
      <c r="Q35" s="10">
        <f>36631.53/1000</f>
        <v>36.63153</v>
      </c>
      <c r="R35" s="3"/>
      <c r="S35" s="1" t="s">
        <v>50</v>
      </c>
    </row>
    <row r="36" spans="1:19" ht="9.75" customHeight="1">
      <c r="A36" s="5"/>
      <c r="B36" s="5"/>
      <c r="C36" s="6"/>
      <c r="D36" s="6"/>
      <c r="E36" s="6"/>
      <c r="F36" s="5"/>
      <c r="G36" s="6"/>
      <c r="H36" s="6"/>
      <c r="I36" s="6"/>
      <c r="J36" s="6"/>
      <c r="K36" s="6"/>
      <c r="L36" s="6"/>
      <c r="M36" s="6"/>
      <c r="N36" s="6"/>
      <c r="O36" s="7"/>
      <c r="P36" s="7"/>
      <c r="Q36" s="6"/>
      <c r="R36" s="6"/>
      <c r="S36" s="5"/>
    </row>
    <row r="37" s="2" customFormat="1" ht="19.5" customHeight="1">
      <c r="A37" s="2" t="s">
        <v>188</v>
      </c>
    </row>
    <row r="38" s="2" customFormat="1" ht="19.5" customHeight="1">
      <c r="A38" s="2" t="s">
        <v>187</v>
      </c>
    </row>
    <row r="39" s="2" customFormat="1" ht="16.5" customHeight="1">
      <c r="S39" s="4" t="s">
        <v>189</v>
      </c>
    </row>
    <row r="40" spans="1:19" ht="19.5" customHeight="1">
      <c r="A40" s="55" t="s">
        <v>106</v>
      </c>
      <c r="B40" s="17"/>
      <c r="C40" s="58" t="s">
        <v>104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17"/>
      <c r="S40" s="55" t="s">
        <v>107</v>
      </c>
    </row>
    <row r="41" spans="1:19" ht="16.5" customHeight="1">
      <c r="A41" s="56"/>
      <c r="B41" s="18"/>
      <c r="C41" s="59" t="s">
        <v>105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18"/>
      <c r="S41" s="56"/>
    </row>
    <row r="42" spans="1:19" ht="20.25" customHeight="1">
      <c r="A42" s="56"/>
      <c r="B42" s="18"/>
      <c r="C42" s="20" t="s">
        <v>0</v>
      </c>
      <c r="D42" s="18"/>
      <c r="E42" s="20" t="s">
        <v>1</v>
      </c>
      <c r="F42" s="18"/>
      <c r="G42" s="20" t="s">
        <v>2</v>
      </c>
      <c r="H42" s="18"/>
      <c r="I42" s="20" t="s">
        <v>3</v>
      </c>
      <c r="J42" s="18"/>
      <c r="K42" s="20" t="s">
        <v>4</v>
      </c>
      <c r="L42" s="18"/>
      <c r="M42" s="20" t="s">
        <v>5</v>
      </c>
      <c r="N42" s="20"/>
      <c r="O42" s="20" t="s">
        <v>6</v>
      </c>
      <c r="P42" s="20"/>
      <c r="Q42" s="20" t="s">
        <v>7</v>
      </c>
      <c r="R42" s="18"/>
      <c r="S42" s="56"/>
    </row>
    <row r="43" spans="1:19" ht="19.5" customHeight="1">
      <c r="A43" s="56"/>
      <c r="B43" s="18"/>
      <c r="C43" s="20" t="s">
        <v>8</v>
      </c>
      <c r="D43" s="18"/>
      <c r="E43" s="20" t="s">
        <v>9</v>
      </c>
      <c r="F43" s="18"/>
      <c r="G43" s="20" t="s">
        <v>10</v>
      </c>
      <c r="H43" s="18"/>
      <c r="I43" s="20" t="s">
        <v>11</v>
      </c>
      <c r="J43" s="18"/>
      <c r="K43" s="20" t="s">
        <v>12</v>
      </c>
      <c r="L43" s="18"/>
      <c r="M43" s="20" t="s">
        <v>13</v>
      </c>
      <c r="N43" s="20"/>
      <c r="O43" s="20" t="s">
        <v>14</v>
      </c>
      <c r="P43" s="20"/>
      <c r="Q43" s="20" t="s">
        <v>15</v>
      </c>
      <c r="R43" s="18"/>
      <c r="S43" s="56"/>
    </row>
    <row r="44" spans="1:19" ht="16.5" customHeight="1">
      <c r="A44" s="56"/>
      <c r="B44" s="18"/>
      <c r="C44" s="18" t="s">
        <v>16</v>
      </c>
      <c r="D44" s="18"/>
      <c r="E44" s="18" t="s">
        <v>16</v>
      </c>
      <c r="F44" s="18"/>
      <c r="G44" s="20" t="s">
        <v>17</v>
      </c>
      <c r="H44" s="18"/>
      <c r="I44" s="20" t="s">
        <v>18</v>
      </c>
      <c r="J44" s="18"/>
      <c r="K44" s="20" t="s">
        <v>19</v>
      </c>
      <c r="L44" s="18"/>
      <c r="M44" s="20" t="s">
        <v>16</v>
      </c>
      <c r="N44" s="20"/>
      <c r="O44" s="20" t="s">
        <v>16</v>
      </c>
      <c r="P44" s="20"/>
      <c r="Q44" s="20" t="s">
        <v>20</v>
      </c>
      <c r="R44" s="18"/>
      <c r="S44" s="56"/>
    </row>
    <row r="45" spans="1:19" ht="15" customHeight="1">
      <c r="A45" s="57"/>
      <c r="B45" s="5"/>
      <c r="C45" s="5" t="s">
        <v>16</v>
      </c>
      <c r="D45" s="5"/>
      <c r="E45" s="5" t="s">
        <v>16</v>
      </c>
      <c r="F45" s="5"/>
      <c r="G45" s="19" t="s">
        <v>21</v>
      </c>
      <c r="H45" s="5"/>
      <c r="I45" s="19" t="s">
        <v>22</v>
      </c>
      <c r="J45" s="5"/>
      <c r="K45" s="19" t="s">
        <v>23</v>
      </c>
      <c r="L45" s="5"/>
      <c r="M45" s="5" t="s">
        <v>16</v>
      </c>
      <c r="N45" s="5"/>
      <c r="O45" s="5" t="s">
        <v>16</v>
      </c>
      <c r="P45" s="5"/>
      <c r="Q45" s="5" t="s">
        <v>16</v>
      </c>
      <c r="R45" s="5"/>
      <c r="S45" s="57"/>
    </row>
    <row r="46" spans="1:19" s="2" customFormat="1" ht="21.75">
      <c r="A46" s="8" t="s">
        <v>134</v>
      </c>
      <c r="C46" s="14">
        <f>16611222.53/1000</f>
        <v>16611.22253</v>
      </c>
      <c r="D46" s="14"/>
      <c r="E46" s="14">
        <f>7144386.92/1000</f>
        <v>7144.38692</v>
      </c>
      <c r="F46" s="15"/>
      <c r="G46" s="14">
        <f>7302223.84/1000</f>
        <v>7302.22384</v>
      </c>
      <c r="H46" s="14"/>
      <c r="I46" s="14">
        <f>1339076.26/1000</f>
        <v>1339.07626</v>
      </c>
      <c r="J46" s="14"/>
      <c r="K46" s="14">
        <f>505813.16/1000</f>
        <v>505.81316</v>
      </c>
      <c r="L46" s="14"/>
      <c r="M46" s="14">
        <f>173956.2/1000</f>
        <v>173.95620000000002</v>
      </c>
      <c r="N46" s="14"/>
      <c r="O46" s="14">
        <f>18434.14/1000</f>
        <v>18.43414</v>
      </c>
      <c r="P46" s="14"/>
      <c r="Q46" s="14">
        <f>127332.01/1000</f>
        <v>127.33201</v>
      </c>
      <c r="R46" s="16"/>
      <c r="S46" s="2" t="s">
        <v>51</v>
      </c>
    </row>
    <row r="47" spans="1:19" ht="21.75">
      <c r="A47" s="9" t="s">
        <v>135</v>
      </c>
      <c r="C47" s="10">
        <f>8757793.97/1000</f>
        <v>8757.79397</v>
      </c>
      <c r="D47" s="10"/>
      <c r="E47" s="10">
        <f>3637083.32/1000</f>
        <v>3637.0833199999997</v>
      </c>
      <c r="F47" s="11"/>
      <c r="G47" s="10">
        <f>3863585.61/1000</f>
        <v>3863.58561</v>
      </c>
      <c r="H47" s="10"/>
      <c r="I47" s="10">
        <f>895093.65/1000</f>
        <v>895.09365</v>
      </c>
      <c r="J47" s="10"/>
      <c r="K47" s="10">
        <f>214114.4/1000</f>
        <v>214.1144</v>
      </c>
      <c r="L47" s="10"/>
      <c r="M47" s="10">
        <f>64172.12/1000</f>
        <v>64.17212</v>
      </c>
      <c r="N47" s="10"/>
      <c r="O47" s="10">
        <f>15406.55/1000</f>
        <v>15.40655</v>
      </c>
      <c r="P47" s="10"/>
      <c r="Q47" s="10">
        <f>68338.32/1000</f>
        <v>68.33832000000001</v>
      </c>
      <c r="R47" s="3"/>
      <c r="S47" s="1" t="s">
        <v>52</v>
      </c>
    </row>
    <row r="48" spans="1:19" ht="21.75">
      <c r="A48" s="9" t="s">
        <v>136</v>
      </c>
      <c r="C48" s="10">
        <f>20448.6/1000</f>
        <v>20.4486</v>
      </c>
      <c r="D48" s="10"/>
      <c r="E48" s="10">
        <f>15700/1000</f>
        <v>15.7</v>
      </c>
      <c r="F48" s="11"/>
      <c r="G48" s="10">
        <f>3551/1000</f>
        <v>3.551</v>
      </c>
      <c r="H48" s="10"/>
      <c r="I48" s="10">
        <f>291.2/1000</f>
        <v>0.2912</v>
      </c>
      <c r="J48" s="10"/>
      <c r="K48" s="10">
        <f>204/1000</f>
        <v>0.204</v>
      </c>
      <c r="L48" s="10"/>
      <c r="M48" s="10">
        <f>702.4/1000</f>
        <v>0.7024</v>
      </c>
      <c r="N48" s="10"/>
      <c r="O48" s="10" t="s">
        <v>25</v>
      </c>
      <c r="P48" s="10"/>
      <c r="Q48" s="10" t="s">
        <v>25</v>
      </c>
      <c r="R48" s="4"/>
      <c r="S48" s="1" t="s">
        <v>53</v>
      </c>
    </row>
    <row r="49" spans="1:19" ht="21.75">
      <c r="A49" s="9" t="s">
        <v>137</v>
      </c>
      <c r="C49" s="10">
        <f>534271.89/1000</f>
        <v>534.27189</v>
      </c>
      <c r="D49" s="10"/>
      <c r="E49" s="10">
        <f>230410.05/1000</f>
        <v>230.41004999999998</v>
      </c>
      <c r="F49" s="11"/>
      <c r="G49" s="10">
        <f>258679.35/1000</f>
        <v>258.67935</v>
      </c>
      <c r="H49" s="10"/>
      <c r="I49" s="10">
        <f>33683.92/1000</f>
        <v>33.68392</v>
      </c>
      <c r="J49" s="10"/>
      <c r="K49" s="10">
        <f>7038.03/1000</f>
        <v>7.03803</v>
      </c>
      <c r="L49" s="10"/>
      <c r="M49" s="10">
        <f>4460.54/1000</f>
        <v>4.46054</v>
      </c>
      <c r="N49" s="10"/>
      <c r="O49" s="10" t="s">
        <v>25</v>
      </c>
      <c r="P49" s="10"/>
      <c r="Q49" s="10" t="s">
        <v>25</v>
      </c>
      <c r="R49" s="4"/>
      <c r="S49" s="1" t="s">
        <v>54</v>
      </c>
    </row>
    <row r="50" spans="1:19" ht="21.75">
      <c r="A50" s="9" t="s">
        <v>138</v>
      </c>
      <c r="C50" s="10">
        <f>216289.49/1000</f>
        <v>216.28949</v>
      </c>
      <c r="D50" s="10"/>
      <c r="E50" s="10">
        <f>90288.36/1000</f>
        <v>90.28836</v>
      </c>
      <c r="F50" s="11"/>
      <c r="G50" s="10">
        <f>114527.67/1000</f>
        <v>114.52767</v>
      </c>
      <c r="H50" s="10"/>
      <c r="I50" s="10">
        <f>4424.99/1000</f>
        <v>4.42499</v>
      </c>
      <c r="J50" s="10"/>
      <c r="K50" s="10">
        <f>3565.56/1000</f>
        <v>3.56556</v>
      </c>
      <c r="L50" s="10"/>
      <c r="M50" s="10">
        <f>3297.35/1000</f>
        <v>3.29735</v>
      </c>
      <c r="N50" s="10"/>
      <c r="O50" s="10" t="s">
        <v>25</v>
      </c>
      <c r="P50" s="10"/>
      <c r="Q50" s="10">
        <f>185.56/1000</f>
        <v>0.18556</v>
      </c>
      <c r="R50" s="4"/>
      <c r="S50" s="1" t="s">
        <v>55</v>
      </c>
    </row>
    <row r="51" spans="1:19" ht="21.75">
      <c r="A51" s="9" t="s">
        <v>139</v>
      </c>
      <c r="C51" s="10">
        <f>239370.77/1000</f>
        <v>239.37077</v>
      </c>
      <c r="D51" s="10"/>
      <c r="E51" s="10">
        <f>118232.19/1000</f>
        <v>118.23219</v>
      </c>
      <c r="F51" s="11"/>
      <c r="G51" s="10">
        <f>87909.16/1000</f>
        <v>87.90916</v>
      </c>
      <c r="H51" s="10"/>
      <c r="I51" s="10">
        <f>23063.29/1000</f>
        <v>23.063290000000002</v>
      </c>
      <c r="J51" s="10"/>
      <c r="K51" s="10">
        <f>5825.25/1000</f>
        <v>5.82525</v>
      </c>
      <c r="L51" s="10"/>
      <c r="M51" s="10">
        <f>1078.55/1000</f>
        <v>1.07855</v>
      </c>
      <c r="N51" s="10"/>
      <c r="O51" s="10" t="s">
        <v>25</v>
      </c>
      <c r="P51" s="10"/>
      <c r="Q51" s="10">
        <f>3262.33/1000</f>
        <v>3.26233</v>
      </c>
      <c r="R51" s="3"/>
      <c r="S51" s="1" t="s">
        <v>56</v>
      </c>
    </row>
    <row r="52" spans="1:19" ht="21.75">
      <c r="A52" s="9" t="s">
        <v>140</v>
      </c>
      <c r="C52" s="10">
        <f>296302.11/1000</f>
        <v>296.30210999999997</v>
      </c>
      <c r="D52" s="10"/>
      <c r="E52" s="10">
        <f>137337.87/1000</f>
        <v>137.33787</v>
      </c>
      <c r="F52" s="11"/>
      <c r="G52" s="10">
        <f>138611.29/1000</f>
        <v>138.61129</v>
      </c>
      <c r="H52" s="10"/>
      <c r="I52" s="10">
        <f>15598.7/1000</f>
        <v>15.598700000000001</v>
      </c>
      <c r="J52" s="10"/>
      <c r="K52" s="10">
        <f>2773.34/1000</f>
        <v>2.77334</v>
      </c>
      <c r="L52" s="10"/>
      <c r="M52" s="10">
        <f>1483.4/1000</f>
        <v>1.4834</v>
      </c>
      <c r="N52" s="10"/>
      <c r="O52" s="10" t="s">
        <v>25</v>
      </c>
      <c r="P52" s="10"/>
      <c r="Q52" s="10">
        <f>497.51/1000</f>
        <v>0.49751</v>
      </c>
      <c r="R52" s="4"/>
      <c r="S52" s="1" t="s">
        <v>57</v>
      </c>
    </row>
    <row r="53" spans="1:19" ht="21.75">
      <c r="A53" s="9" t="s">
        <v>141</v>
      </c>
      <c r="C53" s="10">
        <f>267857.19/1000</f>
        <v>267.85719</v>
      </c>
      <c r="D53" s="10"/>
      <c r="E53" s="10">
        <f>153370/1000</f>
        <v>153.37</v>
      </c>
      <c r="F53" s="11"/>
      <c r="G53" s="10">
        <f>99481.88/1000</f>
        <v>99.48188</v>
      </c>
      <c r="H53" s="10"/>
      <c r="I53" s="10">
        <f>12838.98/1000</f>
        <v>12.83898</v>
      </c>
      <c r="J53" s="10"/>
      <c r="K53" s="10">
        <f>1654.33/1000</f>
        <v>1.6543299999999999</v>
      </c>
      <c r="L53" s="10"/>
      <c r="M53" s="10">
        <f>512/1000</f>
        <v>0.512</v>
      </c>
      <c r="N53" s="10"/>
      <c r="O53" s="10" t="s">
        <v>25</v>
      </c>
      <c r="P53" s="10"/>
      <c r="Q53" s="10" t="s">
        <v>25</v>
      </c>
      <c r="R53" s="4"/>
      <c r="S53" s="1" t="s">
        <v>58</v>
      </c>
    </row>
    <row r="54" spans="1:19" ht="21.75">
      <c r="A54" s="9" t="s">
        <v>142</v>
      </c>
      <c r="C54" s="10">
        <f>1444396.68/1000</f>
        <v>1444.3966799999998</v>
      </c>
      <c r="D54" s="10"/>
      <c r="E54" s="10">
        <f>596101.01/1000</f>
        <v>596.10101</v>
      </c>
      <c r="F54" s="11"/>
      <c r="G54" s="10">
        <f>761595.49/1000</f>
        <v>761.59549</v>
      </c>
      <c r="H54" s="10"/>
      <c r="I54" s="10">
        <f>31325.51/1000</f>
        <v>31.325509999999998</v>
      </c>
      <c r="J54" s="10"/>
      <c r="K54" s="10">
        <f>18447.91/1000</f>
        <v>18.44791</v>
      </c>
      <c r="L54" s="10"/>
      <c r="M54" s="10">
        <f>18328.39/1000</f>
        <v>18.32839</v>
      </c>
      <c r="N54" s="10"/>
      <c r="O54" s="10">
        <f>2498.62/1000</f>
        <v>2.49862</v>
      </c>
      <c r="P54" s="10"/>
      <c r="Q54" s="10">
        <f>16099.74/1000</f>
        <v>16.09974</v>
      </c>
      <c r="R54" s="3"/>
      <c r="S54" s="1" t="s">
        <v>59</v>
      </c>
    </row>
    <row r="55" spans="1:19" ht="21.75">
      <c r="A55" s="9" t="s">
        <v>143</v>
      </c>
      <c r="C55" s="10">
        <f>777318.65/1000</f>
        <v>777.31865</v>
      </c>
      <c r="D55" s="10"/>
      <c r="E55" s="10">
        <f>371328.33/1000</f>
        <v>371.32833</v>
      </c>
      <c r="F55" s="11"/>
      <c r="G55" s="10">
        <f>311420.33/1000</f>
        <v>311.42033000000004</v>
      </c>
      <c r="H55" s="10"/>
      <c r="I55" s="10">
        <f>10034.41/1000</f>
        <v>10.03441</v>
      </c>
      <c r="J55" s="10"/>
      <c r="K55" s="10">
        <f>46920.24/1000</f>
        <v>46.92024</v>
      </c>
      <c r="L55" s="10"/>
      <c r="M55" s="10">
        <f>30290.76/1000</f>
        <v>30.29076</v>
      </c>
      <c r="N55" s="10"/>
      <c r="O55" s="10">
        <f>168.98/1000</f>
        <v>0.16898</v>
      </c>
      <c r="P55" s="10"/>
      <c r="Q55" s="10">
        <f>7155.61/1000</f>
        <v>7.155609999999999</v>
      </c>
      <c r="R55" s="3"/>
      <c r="S55" s="1" t="s">
        <v>60</v>
      </c>
    </row>
    <row r="56" spans="1:19" ht="21.75">
      <c r="A56" s="9" t="s">
        <v>144</v>
      </c>
      <c r="C56" s="10">
        <f>657515.28/1000</f>
        <v>657.5152800000001</v>
      </c>
      <c r="D56" s="10"/>
      <c r="E56" s="10">
        <f>373566.28/1000</f>
        <v>373.56628</v>
      </c>
      <c r="F56" s="11"/>
      <c r="G56" s="10">
        <f>237546.98/1000</f>
        <v>237.54698000000002</v>
      </c>
      <c r="H56" s="10"/>
      <c r="I56" s="10">
        <f>20250.41/1000</f>
        <v>20.25041</v>
      </c>
      <c r="J56" s="10"/>
      <c r="K56" s="10">
        <f>8575.46/1000</f>
        <v>8.57546</v>
      </c>
      <c r="L56" s="10"/>
      <c r="M56" s="10">
        <f>15715.43/1000</f>
        <v>15.71543</v>
      </c>
      <c r="N56" s="10"/>
      <c r="O56" s="10">
        <f>90/1000</f>
        <v>0.09</v>
      </c>
      <c r="P56" s="10"/>
      <c r="Q56" s="10">
        <f>1770.72/1000</f>
        <v>1.77072</v>
      </c>
      <c r="R56" s="3"/>
      <c r="S56" s="1" t="s">
        <v>61</v>
      </c>
    </row>
    <row r="57" spans="1:19" ht="21.75">
      <c r="A57" s="9" t="s">
        <v>145</v>
      </c>
      <c r="C57" s="10">
        <f>166208.87/1000</f>
        <v>166.20887</v>
      </c>
      <c r="D57" s="10"/>
      <c r="E57" s="10">
        <f>74000/1000</f>
        <v>74</v>
      </c>
      <c r="F57" s="11"/>
      <c r="G57" s="10">
        <f>91565.87/1000</f>
        <v>91.56586999999999</v>
      </c>
      <c r="H57" s="10"/>
      <c r="I57" s="10">
        <f>388/1000</f>
        <v>0.388</v>
      </c>
      <c r="J57" s="10"/>
      <c r="K57" s="10">
        <f>105/1000</f>
        <v>0.105</v>
      </c>
      <c r="L57" s="10"/>
      <c r="M57" s="10" t="s">
        <v>25</v>
      </c>
      <c r="N57" s="10"/>
      <c r="O57" s="10">
        <f>150/1000</f>
        <v>0.15</v>
      </c>
      <c r="P57" s="10"/>
      <c r="Q57" s="10" t="s">
        <v>25</v>
      </c>
      <c r="R57" s="4"/>
      <c r="S57" s="1" t="s">
        <v>62</v>
      </c>
    </row>
    <row r="58" spans="1:19" ht="21.75">
      <c r="A58" s="9" t="s">
        <v>146</v>
      </c>
      <c r="C58" s="10">
        <f>148234.47/1000</f>
        <v>148.23447</v>
      </c>
      <c r="D58" s="10"/>
      <c r="E58" s="10">
        <f>37923.31/1000</f>
        <v>37.92331</v>
      </c>
      <c r="F58" s="11"/>
      <c r="G58" s="10">
        <f>65118.99/1000</f>
        <v>65.11899</v>
      </c>
      <c r="H58" s="10"/>
      <c r="I58" s="10">
        <f>30473.4/1000</f>
        <v>30.4734</v>
      </c>
      <c r="J58" s="10"/>
      <c r="K58" s="10">
        <f>5282.26/1000</f>
        <v>5.28226</v>
      </c>
      <c r="L58" s="10"/>
      <c r="M58" s="10">
        <f>6753.45/1000</f>
        <v>6.75345</v>
      </c>
      <c r="N58" s="10"/>
      <c r="O58" s="10">
        <f>40/1000</f>
        <v>0.04</v>
      </c>
      <c r="P58" s="10"/>
      <c r="Q58" s="10">
        <f>2643.07/1000</f>
        <v>2.6430700000000003</v>
      </c>
      <c r="R58" s="3"/>
      <c r="S58" s="1" t="s">
        <v>63</v>
      </c>
    </row>
    <row r="59" spans="1:19" ht="21.75">
      <c r="A59" s="9" t="s">
        <v>147</v>
      </c>
      <c r="C59" s="10">
        <f>471178.08/1000</f>
        <v>471.17808</v>
      </c>
      <c r="D59" s="10"/>
      <c r="E59" s="10">
        <f>64887.22/1000</f>
        <v>64.88722</v>
      </c>
      <c r="F59" s="11"/>
      <c r="G59" s="10">
        <f>339926.31/1000</f>
        <v>339.92631</v>
      </c>
      <c r="H59" s="10"/>
      <c r="I59" s="10">
        <f>38879.08/1000</f>
        <v>38.87908</v>
      </c>
      <c r="J59" s="10"/>
      <c r="K59" s="10">
        <f>6907.65/1000</f>
        <v>6.907649999999999</v>
      </c>
      <c r="L59" s="10"/>
      <c r="M59" s="10">
        <f>6173.5/1000</f>
        <v>6.1735</v>
      </c>
      <c r="N59" s="10"/>
      <c r="O59" s="10" t="s">
        <v>25</v>
      </c>
      <c r="P59" s="10"/>
      <c r="Q59" s="10">
        <f>14404.33/1000</f>
        <v>14.40433</v>
      </c>
      <c r="R59" s="3"/>
      <c r="S59" s="1" t="s">
        <v>64</v>
      </c>
    </row>
    <row r="60" spans="1:19" ht="21.75">
      <c r="A60" s="9" t="s">
        <v>148</v>
      </c>
      <c r="C60" s="10">
        <f>336694.43/1000</f>
        <v>336.69443</v>
      </c>
      <c r="D60" s="10"/>
      <c r="E60" s="10">
        <f>100047.58/1000</f>
        <v>100.04758</v>
      </c>
      <c r="F60" s="11"/>
      <c r="G60" s="10">
        <f>184347.53/1000</f>
        <v>184.34753</v>
      </c>
      <c r="H60" s="10"/>
      <c r="I60" s="10">
        <f>2240.28/1000</f>
        <v>2.2402800000000003</v>
      </c>
      <c r="J60" s="10"/>
      <c r="K60" s="10">
        <f>43295.96/1000</f>
        <v>43.29596</v>
      </c>
      <c r="L60" s="10"/>
      <c r="M60" s="10">
        <f>6723.09/1000</f>
        <v>6.72309</v>
      </c>
      <c r="N60" s="10"/>
      <c r="O60" s="10" t="s">
        <v>25</v>
      </c>
      <c r="P60" s="10"/>
      <c r="Q60" s="10">
        <f>40/1000</f>
        <v>0.04</v>
      </c>
      <c r="R60" s="4"/>
      <c r="S60" s="1" t="s">
        <v>65</v>
      </c>
    </row>
    <row r="61" spans="1:19" ht="21.75">
      <c r="A61" s="9" t="s">
        <v>149</v>
      </c>
      <c r="C61" s="10">
        <f>1720243.48/1000</f>
        <v>1720.24348</v>
      </c>
      <c r="D61" s="10"/>
      <c r="E61" s="10">
        <f>964202.16/1000</f>
        <v>964.20216</v>
      </c>
      <c r="F61" s="11"/>
      <c r="G61" s="10">
        <f>413924.19/1000</f>
        <v>413.92419</v>
      </c>
      <c r="H61" s="10"/>
      <c r="I61" s="10">
        <f>186496.89/1000</f>
        <v>186.49689</v>
      </c>
      <c r="J61" s="10"/>
      <c r="K61" s="10">
        <f>138975.3/1000</f>
        <v>138.97529999999998</v>
      </c>
      <c r="L61" s="10"/>
      <c r="M61" s="10">
        <f>11710.11/1000</f>
        <v>11.71011</v>
      </c>
      <c r="N61" s="10"/>
      <c r="O61" s="10" t="s">
        <v>25</v>
      </c>
      <c r="P61" s="10"/>
      <c r="Q61" s="10">
        <f>4934.82/1000</f>
        <v>4.934819999999999</v>
      </c>
      <c r="R61" s="3"/>
      <c r="S61" s="1" t="s">
        <v>66</v>
      </c>
    </row>
    <row r="62" spans="1:19" ht="21.75">
      <c r="A62" s="9" t="s">
        <v>150</v>
      </c>
      <c r="C62" s="10">
        <f>222467.67/1000</f>
        <v>222.46767000000003</v>
      </c>
      <c r="D62" s="10"/>
      <c r="E62" s="10">
        <f>39031.05/1000</f>
        <v>39.03105</v>
      </c>
      <c r="F62" s="11"/>
      <c r="G62" s="10">
        <f>150143.13/1000</f>
        <v>150.14313</v>
      </c>
      <c r="H62" s="10"/>
      <c r="I62" s="10">
        <f>30890.31/1000</f>
        <v>30.890310000000003</v>
      </c>
      <c r="J62" s="10"/>
      <c r="K62" s="10">
        <f>1208.08/1000</f>
        <v>1.2080799999999998</v>
      </c>
      <c r="L62" s="10"/>
      <c r="M62" s="10">
        <f>1115.11/1000</f>
        <v>1.1151099999999998</v>
      </c>
      <c r="N62" s="10"/>
      <c r="O62" s="10">
        <f>80/1000</f>
        <v>0.08</v>
      </c>
      <c r="P62" s="10"/>
      <c r="Q62" s="10" t="s">
        <v>25</v>
      </c>
      <c r="R62" s="4"/>
      <c r="S62" s="1" t="s">
        <v>67</v>
      </c>
    </row>
    <row r="63" spans="1:19" ht="21.75">
      <c r="A63" s="9" t="s">
        <v>151</v>
      </c>
      <c r="C63" s="10">
        <f>334630.91/1000</f>
        <v>334.63091</v>
      </c>
      <c r="D63" s="10"/>
      <c r="E63" s="10">
        <f>140878.2/1000</f>
        <v>140.87820000000002</v>
      </c>
      <c r="F63" s="11"/>
      <c r="G63" s="10">
        <f>180289.07/1000</f>
        <v>180.28907</v>
      </c>
      <c r="H63" s="10"/>
      <c r="I63" s="10">
        <f>3103.24/1000</f>
        <v>3.10324</v>
      </c>
      <c r="J63" s="10"/>
      <c r="K63" s="10">
        <f>920.4/1000</f>
        <v>0.9204</v>
      </c>
      <c r="L63" s="10"/>
      <c r="M63" s="10">
        <f>1440/1000</f>
        <v>1.44</v>
      </c>
      <c r="N63" s="10"/>
      <c r="O63" s="10" t="s">
        <v>25</v>
      </c>
      <c r="P63" s="10"/>
      <c r="Q63" s="10">
        <f>8000/1000</f>
        <v>8</v>
      </c>
      <c r="R63" s="3"/>
      <c r="S63" s="1" t="s">
        <v>68</v>
      </c>
    </row>
    <row r="64" spans="1:19" ht="9.75" customHeight="1">
      <c r="A64" s="5"/>
      <c r="B64" s="5"/>
      <c r="C64" s="6"/>
      <c r="D64" s="6"/>
      <c r="E64" s="6"/>
      <c r="F64" s="5"/>
      <c r="G64" s="6"/>
      <c r="H64" s="6"/>
      <c r="I64" s="6"/>
      <c r="J64" s="6"/>
      <c r="K64" s="7"/>
      <c r="L64" s="7"/>
      <c r="M64" s="6"/>
      <c r="N64" s="6"/>
      <c r="O64" s="7"/>
      <c r="P64" s="7"/>
      <c r="Q64" s="6"/>
      <c r="R64" s="6"/>
      <c r="S64" s="5"/>
    </row>
    <row r="65" spans="3:18" ht="9.75" customHeight="1">
      <c r="C65" s="3"/>
      <c r="D65" s="3"/>
      <c r="E65" s="3"/>
      <c r="F65" s="1"/>
      <c r="G65" s="3"/>
      <c r="H65" s="3"/>
      <c r="I65" s="3"/>
      <c r="J65" s="3"/>
      <c r="K65" s="4"/>
      <c r="L65" s="4"/>
      <c r="M65" s="3"/>
      <c r="N65" s="3"/>
      <c r="O65" s="4"/>
      <c r="P65" s="4"/>
      <c r="Q65" s="3"/>
      <c r="R65" s="3"/>
    </row>
    <row r="66" spans="3:18" ht="21">
      <c r="C66" s="3"/>
      <c r="D66" s="3"/>
      <c r="E66" s="3"/>
      <c r="F66" s="1"/>
      <c r="G66" s="3"/>
      <c r="H66" s="3"/>
      <c r="I66" s="3"/>
      <c r="J66" s="3"/>
      <c r="K66" s="4"/>
      <c r="L66" s="4"/>
      <c r="M66" s="3"/>
      <c r="N66" s="3"/>
      <c r="O66" s="4"/>
      <c r="P66" s="4"/>
      <c r="Q66" s="3"/>
      <c r="R66" s="3"/>
    </row>
    <row r="67" spans="3:18" ht="21">
      <c r="C67" s="3"/>
      <c r="D67" s="3"/>
      <c r="E67" s="3"/>
      <c r="F67" s="1"/>
      <c r="G67" s="3"/>
      <c r="H67" s="3"/>
      <c r="I67" s="3"/>
      <c r="J67" s="3"/>
      <c r="K67" s="4"/>
      <c r="L67" s="4"/>
      <c r="M67" s="3"/>
      <c r="N67" s="3"/>
      <c r="O67" s="4"/>
      <c r="P67" s="4"/>
      <c r="Q67" s="3"/>
      <c r="R67" s="3"/>
    </row>
    <row r="68" spans="3:18" ht="21">
      <c r="C68" s="3"/>
      <c r="D68" s="3"/>
      <c r="E68" s="3"/>
      <c r="F68" s="1"/>
      <c r="G68" s="3"/>
      <c r="H68" s="3"/>
      <c r="I68" s="3"/>
      <c r="J68" s="3"/>
      <c r="K68" s="4"/>
      <c r="L68" s="4"/>
      <c r="M68" s="3"/>
      <c r="N68" s="3"/>
      <c r="O68" s="4"/>
      <c r="P68" s="4"/>
      <c r="Q68" s="3"/>
      <c r="R68" s="3"/>
    </row>
    <row r="69" s="2" customFormat="1" ht="19.5" customHeight="1">
      <c r="A69" s="2" t="s">
        <v>188</v>
      </c>
    </row>
    <row r="70" s="2" customFormat="1" ht="19.5" customHeight="1">
      <c r="A70" s="2" t="s">
        <v>187</v>
      </c>
    </row>
    <row r="71" s="2" customFormat="1" ht="16.5" customHeight="1">
      <c r="S71" s="4" t="s">
        <v>189</v>
      </c>
    </row>
    <row r="72" spans="1:19" ht="19.5" customHeight="1">
      <c r="A72" s="55" t="s">
        <v>106</v>
      </c>
      <c r="B72" s="17"/>
      <c r="C72" s="58" t="s">
        <v>104</v>
      </c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17"/>
      <c r="S72" s="55" t="s">
        <v>107</v>
      </c>
    </row>
    <row r="73" spans="1:19" ht="16.5" customHeight="1">
      <c r="A73" s="56"/>
      <c r="B73" s="18"/>
      <c r="C73" s="59" t="s">
        <v>105</v>
      </c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18"/>
      <c r="S73" s="56"/>
    </row>
    <row r="74" spans="1:19" ht="20.25" customHeight="1">
      <c r="A74" s="56"/>
      <c r="B74" s="18"/>
      <c r="C74" s="20" t="s">
        <v>0</v>
      </c>
      <c r="D74" s="18"/>
      <c r="E74" s="20" t="s">
        <v>1</v>
      </c>
      <c r="F74" s="18"/>
      <c r="G74" s="20" t="s">
        <v>2</v>
      </c>
      <c r="H74" s="18"/>
      <c r="I74" s="20" t="s">
        <v>3</v>
      </c>
      <c r="J74" s="18"/>
      <c r="K74" s="20" t="s">
        <v>4</v>
      </c>
      <c r="L74" s="18"/>
      <c r="M74" s="20" t="s">
        <v>5</v>
      </c>
      <c r="N74" s="20"/>
      <c r="O74" s="20" t="s">
        <v>6</v>
      </c>
      <c r="P74" s="20"/>
      <c r="Q74" s="20" t="s">
        <v>7</v>
      </c>
      <c r="R74" s="18"/>
      <c r="S74" s="56"/>
    </row>
    <row r="75" spans="1:19" ht="19.5" customHeight="1">
      <c r="A75" s="56"/>
      <c r="B75" s="18"/>
      <c r="C75" s="20" t="s">
        <v>8</v>
      </c>
      <c r="D75" s="18"/>
      <c r="E75" s="20" t="s">
        <v>9</v>
      </c>
      <c r="F75" s="18"/>
      <c r="G75" s="20" t="s">
        <v>10</v>
      </c>
      <c r="H75" s="18"/>
      <c r="I75" s="20" t="s">
        <v>11</v>
      </c>
      <c r="J75" s="18"/>
      <c r="K75" s="20" t="s">
        <v>12</v>
      </c>
      <c r="L75" s="18"/>
      <c r="M75" s="20" t="s">
        <v>13</v>
      </c>
      <c r="N75" s="20"/>
      <c r="O75" s="20" t="s">
        <v>14</v>
      </c>
      <c r="P75" s="20"/>
      <c r="Q75" s="20" t="s">
        <v>15</v>
      </c>
      <c r="R75" s="18"/>
      <c r="S75" s="56"/>
    </row>
    <row r="76" spans="1:19" ht="16.5" customHeight="1">
      <c r="A76" s="56"/>
      <c r="B76" s="18"/>
      <c r="C76" s="18" t="s">
        <v>16</v>
      </c>
      <c r="D76" s="18"/>
      <c r="E76" s="18" t="s">
        <v>16</v>
      </c>
      <c r="F76" s="18"/>
      <c r="G76" s="20" t="s">
        <v>17</v>
      </c>
      <c r="H76" s="18"/>
      <c r="I76" s="20" t="s">
        <v>18</v>
      </c>
      <c r="J76" s="18"/>
      <c r="K76" s="20" t="s">
        <v>19</v>
      </c>
      <c r="L76" s="18"/>
      <c r="M76" s="20" t="s">
        <v>16</v>
      </c>
      <c r="N76" s="20"/>
      <c r="O76" s="20" t="s">
        <v>16</v>
      </c>
      <c r="P76" s="20"/>
      <c r="Q76" s="20" t="s">
        <v>20</v>
      </c>
      <c r="R76" s="18"/>
      <c r="S76" s="56"/>
    </row>
    <row r="77" spans="1:19" ht="15" customHeight="1">
      <c r="A77" s="57"/>
      <c r="B77" s="5"/>
      <c r="C77" s="5" t="s">
        <v>16</v>
      </c>
      <c r="D77" s="5"/>
      <c r="E77" s="5" t="s">
        <v>16</v>
      </c>
      <c r="F77" s="5"/>
      <c r="G77" s="19" t="s">
        <v>21</v>
      </c>
      <c r="H77" s="5"/>
      <c r="I77" s="19" t="s">
        <v>22</v>
      </c>
      <c r="J77" s="5"/>
      <c r="K77" s="19" t="s">
        <v>23</v>
      </c>
      <c r="L77" s="5"/>
      <c r="M77" s="5" t="s">
        <v>16</v>
      </c>
      <c r="N77" s="5"/>
      <c r="O77" s="5" t="s">
        <v>16</v>
      </c>
      <c r="P77" s="5"/>
      <c r="Q77" s="5" t="s">
        <v>16</v>
      </c>
      <c r="R77" s="5"/>
      <c r="S77" s="57"/>
    </row>
    <row r="78" spans="1:19" s="2" customFormat="1" ht="21.75">
      <c r="A78" s="8" t="s">
        <v>152</v>
      </c>
      <c r="C78" s="14">
        <f>8285036.08/1000</f>
        <v>8285.03608</v>
      </c>
      <c r="D78" s="14"/>
      <c r="E78" s="14">
        <f>3687352.14/1000</f>
        <v>3687.35214</v>
      </c>
      <c r="F78" s="15"/>
      <c r="G78" s="14">
        <f>4050013.78/1000</f>
        <v>4050.0137799999998</v>
      </c>
      <c r="H78" s="14"/>
      <c r="I78" s="14">
        <f>230984.76/10000</f>
        <v>23.098476</v>
      </c>
      <c r="J78" s="14"/>
      <c r="K78" s="14">
        <f>139812.32/1000</f>
        <v>139.81232</v>
      </c>
      <c r="L78" s="14"/>
      <c r="M78" s="14">
        <f>84674.83/1000</f>
        <v>84.67483</v>
      </c>
      <c r="N78" s="14"/>
      <c r="O78" s="14">
        <f>18204.55/1000</f>
        <v>18.204549999999998</v>
      </c>
      <c r="P78" s="14"/>
      <c r="Q78" s="14">
        <f>73993.7/1000</f>
        <v>73.9937</v>
      </c>
      <c r="R78" s="16"/>
      <c r="S78" s="2" t="s">
        <v>69</v>
      </c>
    </row>
    <row r="79" spans="1:19" ht="21.75">
      <c r="A79" s="9" t="s">
        <v>153</v>
      </c>
      <c r="C79" s="10">
        <f>444872.88/1000</f>
        <v>444.87288</v>
      </c>
      <c r="D79" s="10"/>
      <c r="E79" s="10">
        <f>230247.92/1000</f>
        <v>230.24792000000002</v>
      </c>
      <c r="F79" s="11"/>
      <c r="G79" s="10">
        <f>157808.59/1000</f>
        <v>157.80859</v>
      </c>
      <c r="H79" s="10"/>
      <c r="I79" s="10">
        <f>35596.23/1000</f>
        <v>35.596230000000006</v>
      </c>
      <c r="J79" s="10"/>
      <c r="K79" s="10">
        <f>11644.42/1000</f>
        <v>11.64442</v>
      </c>
      <c r="L79" s="10"/>
      <c r="M79" s="10">
        <f>5533.82/1000</f>
        <v>5.5338199999999995</v>
      </c>
      <c r="N79" s="10"/>
      <c r="O79" s="10">
        <f>540.13/1000</f>
        <v>0.54013</v>
      </c>
      <c r="P79" s="10"/>
      <c r="Q79" s="10">
        <f>3501.77/1000</f>
        <v>3.50177</v>
      </c>
      <c r="R79" s="3"/>
      <c r="S79" s="1" t="s">
        <v>70</v>
      </c>
    </row>
    <row r="80" spans="1:19" ht="21.75">
      <c r="A80" s="9" t="s">
        <v>154</v>
      </c>
      <c r="C80" s="10">
        <f>88645.59/1000</f>
        <v>88.64559</v>
      </c>
      <c r="D80" s="10"/>
      <c r="E80" s="10">
        <f>33500/1000</f>
        <v>33.5</v>
      </c>
      <c r="F80" s="11"/>
      <c r="G80" s="10">
        <f>42998.5/1000</f>
        <v>42.9985</v>
      </c>
      <c r="H80" s="10"/>
      <c r="I80" s="10">
        <f>6212/1000</f>
        <v>6.212</v>
      </c>
      <c r="J80" s="10"/>
      <c r="K80" s="10">
        <f>1230.69/1000</f>
        <v>1.23069</v>
      </c>
      <c r="L80" s="10"/>
      <c r="M80" s="10">
        <f>4704.4/1000</f>
        <v>4.7044</v>
      </c>
      <c r="N80" s="10"/>
      <c r="O80" s="10" t="s">
        <v>25</v>
      </c>
      <c r="P80" s="10"/>
      <c r="Q80" s="10" t="s">
        <v>25</v>
      </c>
      <c r="R80" s="4"/>
      <c r="S80" s="1" t="s">
        <v>71</v>
      </c>
    </row>
    <row r="81" spans="1:19" ht="21.75">
      <c r="A81" s="9" t="s">
        <v>155</v>
      </c>
      <c r="C81" s="10">
        <f>287765.71/1000</f>
        <v>287.76571</v>
      </c>
      <c r="D81" s="10"/>
      <c r="E81" s="10">
        <f>179694/1000</f>
        <v>179.694</v>
      </c>
      <c r="F81" s="11"/>
      <c r="G81" s="10">
        <f>73602.36/1000</f>
        <v>73.60236</v>
      </c>
      <c r="H81" s="10"/>
      <c r="I81" s="10">
        <f>5074.77/1000</f>
        <v>5.07477</v>
      </c>
      <c r="J81" s="10"/>
      <c r="K81" s="10">
        <f>22440.71/1000</f>
        <v>22.44071</v>
      </c>
      <c r="L81" s="10"/>
      <c r="M81" s="10">
        <f>5815.64/1000</f>
        <v>5.81564</v>
      </c>
      <c r="N81" s="10"/>
      <c r="O81" s="10">
        <f>970.54/1000</f>
        <v>0.97054</v>
      </c>
      <c r="P81" s="10"/>
      <c r="Q81" s="10">
        <f>167.69/1000</f>
        <v>0.16769</v>
      </c>
      <c r="R81" s="4"/>
      <c r="S81" s="1" t="s">
        <v>72</v>
      </c>
    </row>
    <row r="82" spans="1:19" ht="21.75">
      <c r="A82" s="9" t="s">
        <v>156</v>
      </c>
      <c r="C82" s="10">
        <f>124290.23/1000</f>
        <v>124.29023</v>
      </c>
      <c r="D82" s="10"/>
      <c r="E82" s="10">
        <f>34406.64/1000</f>
        <v>34.406639999999996</v>
      </c>
      <c r="F82" s="11"/>
      <c r="G82" s="10">
        <f>83664.98/1000</f>
        <v>83.66498</v>
      </c>
      <c r="H82" s="10"/>
      <c r="I82" s="10">
        <f>4218.59/1000</f>
        <v>4.21859</v>
      </c>
      <c r="J82" s="10"/>
      <c r="K82" s="10">
        <f>824.07/1000</f>
        <v>0.8240700000000001</v>
      </c>
      <c r="L82" s="10"/>
      <c r="M82" s="10">
        <f>1175.93/1000</f>
        <v>1.1759300000000001</v>
      </c>
      <c r="N82" s="10"/>
      <c r="O82" s="10" t="s">
        <v>25</v>
      </c>
      <c r="P82" s="10"/>
      <c r="Q82" s="10" t="s">
        <v>25</v>
      </c>
      <c r="R82" s="4"/>
      <c r="S82" s="1" t="s">
        <v>73</v>
      </c>
    </row>
    <row r="83" spans="1:19" ht="21.75">
      <c r="A83" s="9" t="s">
        <v>157</v>
      </c>
      <c r="C83" s="10">
        <f>1184973.62/1000</f>
        <v>1184.9736200000002</v>
      </c>
      <c r="D83" s="10"/>
      <c r="E83" s="10">
        <f>626525.93/1000</f>
        <v>626.52593</v>
      </c>
      <c r="F83" s="11"/>
      <c r="G83" s="10">
        <f>476691.22/1000</f>
        <v>476.69122</v>
      </c>
      <c r="H83" s="10"/>
      <c r="I83" s="10">
        <f>25535.76/1000</f>
        <v>25.53576</v>
      </c>
      <c r="J83" s="10"/>
      <c r="K83" s="10">
        <f>27432.35/1000</f>
        <v>27.43235</v>
      </c>
      <c r="L83" s="10"/>
      <c r="M83" s="10">
        <f>9378.77/1000</f>
        <v>9.378770000000001</v>
      </c>
      <c r="N83" s="10"/>
      <c r="O83" s="10">
        <f>168.45/1000</f>
        <v>0.16845</v>
      </c>
      <c r="P83" s="10"/>
      <c r="Q83" s="10">
        <f>19241.14/1000</f>
        <v>19.241139999999998</v>
      </c>
      <c r="R83" s="3"/>
      <c r="S83" s="1" t="s">
        <v>74</v>
      </c>
    </row>
    <row r="84" spans="1:19" ht="21.75">
      <c r="A84" s="9" t="s">
        <v>158</v>
      </c>
      <c r="C84" s="10">
        <f>103624.84/1000</f>
        <v>103.62483999999999</v>
      </c>
      <c r="D84" s="10"/>
      <c r="E84" s="10">
        <f>21000/1000</f>
        <v>21</v>
      </c>
      <c r="F84" s="11"/>
      <c r="G84" s="10">
        <f>68680.77/1000</f>
        <v>68.68077000000001</v>
      </c>
      <c r="H84" s="10"/>
      <c r="I84" s="10">
        <f>13218.28/1000</f>
        <v>13.21828</v>
      </c>
      <c r="J84" s="10"/>
      <c r="K84" s="10">
        <f>499.44/1000</f>
        <v>0.49944</v>
      </c>
      <c r="L84" s="10"/>
      <c r="M84" s="10">
        <f>226.34/1000</f>
        <v>0.22634</v>
      </c>
      <c r="N84" s="10"/>
      <c r="O84" s="10" t="s">
        <v>25</v>
      </c>
      <c r="P84" s="10"/>
      <c r="Q84" s="10" t="s">
        <v>25</v>
      </c>
      <c r="R84" s="4"/>
      <c r="S84" s="1" t="s">
        <v>75</v>
      </c>
    </row>
    <row r="85" spans="1:19" ht="21.75">
      <c r="A85" s="9" t="s">
        <v>159</v>
      </c>
      <c r="C85" s="10">
        <f>208806.68/1000</f>
        <v>208.80668</v>
      </c>
      <c r="D85" s="10"/>
      <c r="E85" s="10">
        <f>86905/1000</f>
        <v>86.905</v>
      </c>
      <c r="F85" s="11"/>
      <c r="G85" s="10">
        <f>112170.36/1000</f>
        <v>112.17036</v>
      </c>
      <c r="H85" s="10"/>
      <c r="I85" s="10">
        <f>6763.3/1000</f>
        <v>6.7633</v>
      </c>
      <c r="J85" s="10"/>
      <c r="K85" s="10">
        <f>523.21/1000</f>
        <v>0.5232100000000001</v>
      </c>
      <c r="L85" s="10"/>
      <c r="M85" s="10">
        <f>2163.81/1000</f>
        <v>2.16381</v>
      </c>
      <c r="N85" s="10"/>
      <c r="O85" s="10" t="s">
        <v>25</v>
      </c>
      <c r="P85" s="10"/>
      <c r="Q85" s="10">
        <f>281/1000</f>
        <v>0.281</v>
      </c>
      <c r="R85" s="4"/>
      <c r="S85" s="1" t="s">
        <v>76</v>
      </c>
    </row>
    <row r="86" spans="1:19" ht="21.75">
      <c r="A86" s="9" t="s">
        <v>160</v>
      </c>
      <c r="C86" s="10">
        <f>76691.5/1000</f>
        <v>76.6915</v>
      </c>
      <c r="D86" s="10"/>
      <c r="E86" s="10">
        <f>33000/1000</f>
        <v>33</v>
      </c>
      <c r="F86" s="11"/>
      <c r="G86" s="10">
        <f>39470/1000</f>
        <v>39.47</v>
      </c>
      <c r="H86" s="10"/>
      <c r="I86" s="10">
        <f>1181.5/1000</f>
        <v>1.1815</v>
      </c>
      <c r="J86" s="10"/>
      <c r="K86" s="10">
        <f>980/1000</f>
        <v>0.98</v>
      </c>
      <c r="L86" s="10"/>
      <c r="M86" s="10">
        <f>1990/1000</f>
        <v>1.99</v>
      </c>
      <c r="N86" s="10"/>
      <c r="O86" s="10">
        <f>70/1000</f>
        <v>0.07</v>
      </c>
      <c r="P86" s="10"/>
      <c r="Q86" s="10" t="s">
        <v>25</v>
      </c>
      <c r="R86" s="4"/>
      <c r="S86" s="1" t="s">
        <v>77</v>
      </c>
    </row>
    <row r="87" spans="1:19" ht="21.75">
      <c r="A87" s="9" t="s">
        <v>161</v>
      </c>
      <c r="C87" s="10">
        <f>18585/1000</f>
        <v>18.585</v>
      </c>
      <c r="D87" s="10"/>
      <c r="E87" s="10">
        <f>5460/1000</f>
        <v>5.46</v>
      </c>
      <c r="F87" s="11"/>
      <c r="G87" s="10">
        <f>12152/1000</f>
        <v>12.152</v>
      </c>
      <c r="H87" s="10"/>
      <c r="I87" s="10">
        <f>364/1000</f>
        <v>0.364</v>
      </c>
      <c r="J87" s="10"/>
      <c r="K87" s="10">
        <f>37.8/1000</f>
        <v>0.0378</v>
      </c>
      <c r="L87" s="10"/>
      <c r="M87" s="10">
        <f>571.2/1000</f>
        <v>0.5712</v>
      </c>
      <c r="N87" s="10"/>
      <c r="O87" s="10" t="s">
        <v>25</v>
      </c>
      <c r="P87" s="10"/>
      <c r="Q87" s="10" t="s">
        <v>25</v>
      </c>
      <c r="R87" s="4"/>
      <c r="S87" s="1" t="s">
        <v>78</v>
      </c>
    </row>
    <row r="88" spans="1:19" ht="21.75">
      <c r="A88" s="9" t="s">
        <v>162</v>
      </c>
      <c r="C88" s="10">
        <f>983364.44/1000</f>
        <v>983.36444</v>
      </c>
      <c r="D88" s="10"/>
      <c r="E88" s="10">
        <f>703713.67/1000</f>
        <v>703.7136700000001</v>
      </c>
      <c r="F88" s="11"/>
      <c r="G88" s="10">
        <f>256901.01/1000</f>
        <v>256.90101</v>
      </c>
      <c r="H88" s="10"/>
      <c r="I88" s="10">
        <f>10676.2/1000</f>
        <v>10.676200000000001</v>
      </c>
      <c r="J88" s="10"/>
      <c r="K88" s="10">
        <f>4802.25/1000</f>
        <v>4.80225</v>
      </c>
      <c r="L88" s="10"/>
      <c r="M88" s="10">
        <f>7271.31/1000</f>
        <v>7.271310000000001</v>
      </c>
      <c r="N88" s="10"/>
      <c r="O88" s="10" t="s">
        <v>25</v>
      </c>
      <c r="P88" s="10"/>
      <c r="Q88" s="10" t="s">
        <v>25</v>
      </c>
      <c r="R88" s="4"/>
      <c r="S88" s="1" t="s">
        <v>79</v>
      </c>
    </row>
    <row r="89" spans="1:19" ht="21.75">
      <c r="A89" s="9" t="s">
        <v>163</v>
      </c>
      <c r="C89" s="10">
        <f>1319765.32/1000</f>
        <v>1319.76532</v>
      </c>
      <c r="D89" s="10"/>
      <c r="E89" s="10">
        <f>652609.98/1000</f>
        <v>652.60998</v>
      </c>
      <c r="F89" s="11"/>
      <c r="G89" s="10">
        <f>558242.76/1000</f>
        <v>558.24276</v>
      </c>
      <c r="H89" s="10"/>
      <c r="I89" s="10">
        <f>63140.7/1000</f>
        <v>63.140699999999995</v>
      </c>
      <c r="J89" s="10"/>
      <c r="K89" s="10">
        <f>6387.74/1000</f>
        <v>6.38774</v>
      </c>
      <c r="L89" s="10"/>
      <c r="M89" s="10">
        <f>10590.54/1000</f>
        <v>10.59054</v>
      </c>
      <c r="N89" s="10"/>
      <c r="O89" s="10">
        <f>3776.02/1000</f>
        <v>3.77602</v>
      </c>
      <c r="P89" s="10"/>
      <c r="Q89" s="10">
        <f>25017.58/1000</f>
        <v>25.017580000000002</v>
      </c>
      <c r="R89" s="3"/>
      <c r="S89" s="1" t="s">
        <v>80</v>
      </c>
    </row>
    <row r="90" spans="1:19" ht="21.75">
      <c r="A90" s="9" t="s">
        <v>164</v>
      </c>
      <c r="C90" s="10">
        <f>85988/1000</f>
        <v>85.988</v>
      </c>
      <c r="D90" s="10"/>
      <c r="E90" s="10">
        <f>37100/1000</f>
        <v>37.1</v>
      </c>
      <c r="F90" s="11"/>
      <c r="G90" s="10">
        <f>47930/1000</f>
        <v>47.93</v>
      </c>
      <c r="H90" s="10"/>
      <c r="I90" s="10" t="s">
        <v>25</v>
      </c>
      <c r="J90" s="10"/>
      <c r="K90" s="10">
        <f>145/1000</f>
        <v>0.145</v>
      </c>
      <c r="L90" s="10"/>
      <c r="M90" s="10">
        <f>813/1000</f>
        <v>0.813</v>
      </c>
      <c r="N90" s="10"/>
      <c r="O90" s="10" t="s">
        <v>25</v>
      </c>
      <c r="P90" s="10"/>
      <c r="Q90" s="10" t="s">
        <v>25</v>
      </c>
      <c r="R90" s="4"/>
      <c r="S90" s="1" t="s">
        <v>81</v>
      </c>
    </row>
    <row r="91" spans="1:19" ht="21.75">
      <c r="A91" s="9" t="s">
        <v>165</v>
      </c>
      <c r="C91" s="10">
        <f>757658.3/1000</f>
        <v>757.6583</v>
      </c>
      <c r="D91" s="10"/>
      <c r="E91" s="10">
        <f>247418.43/1000</f>
        <v>247.41843</v>
      </c>
      <c r="F91" s="11"/>
      <c r="G91" s="10">
        <f>488240.74/1000</f>
        <v>488.24074</v>
      </c>
      <c r="H91" s="10"/>
      <c r="I91" s="10">
        <f>6550.75/1000</f>
        <v>6.55075</v>
      </c>
      <c r="J91" s="10"/>
      <c r="K91" s="10">
        <f>2058.11/1000</f>
        <v>2.05811</v>
      </c>
      <c r="L91" s="10"/>
      <c r="M91" s="10">
        <f>8610.25/1000</f>
        <v>8.61025</v>
      </c>
      <c r="N91" s="10"/>
      <c r="O91" s="10" t="s">
        <v>25</v>
      </c>
      <c r="P91" s="10"/>
      <c r="Q91" s="10">
        <f>4780/1000</f>
        <v>4.78</v>
      </c>
      <c r="R91" s="3"/>
      <c r="S91" s="1" t="s">
        <v>82</v>
      </c>
    </row>
    <row r="92" spans="1:19" ht="21.75">
      <c r="A92" s="9" t="s">
        <v>166</v>
      </c>
      <c r="C92" s="10">
        <f>114537.36/1000</f>
        <v>114.53736</v>
      </c>
      <c r="D92" s="10"/>
      <c r="E92" s="10">
        <f>57800/1000</f>
        <v>57.8</v>
      </c>
      <c r="F92" s="11"/>
      <c r="G92" s="10">
        <f>47213.48/1000</f>
        <v>47.213480000000004</v>
      </c>
      <c r="H92" s="10"/>
      <c r="I92" s="10">
        <f>834.2/1000</f>
        <v>0.8342</v>
      </c>
      <c r="J92" s="10"/>
      <c r="K92" s="10">
        <f>3275.23/1000</f>
        <v>3.27523</v>
      </c>
      <c r="L92" s="10"/>
      <c r="M92" s="10">
        <f>5414.46/1000</f>
        <v>5.41446</v>
      </c>
      <c r="N92" s="10"/>
      <c r="O92" s="10" t="s">
        <v>25</v>
      </c>
      <c r="P92" s="10"/>
      <c r="Q92" s="10" t="s">
        <v>25</v>
      </c>
      <c r="R92" s="4"/>
      <c r="S92" s="1" t="s">
        <v>83</v>
      </c>
    </row>
    <row r="93" spans="1:19" ht="21.75">
      <c r="A93" s="9" t="s">
        <v>167</v>
      </c>
      <c r="C93" s="10">
        <f>174003.78/1000</f>
        <v>174.00378</v>
      </c>
      <c r="D93" s="10"/>
      <c r="E93" s="10">
        <f>91700/1000</f>
        <v>91.7</v>
      </c>
      <c r="F93" s="11"/>
      <c r="G93" s="10">
        <f>70082.03/1000</f>
        <v>70.08203</v>
      </c>
      <c r="H93" s="10"/>
      <c r="I93" s="10">
        <f>3290.17/1000</f>
        <v>3.2901700000000003</v>
      </c>
      <c r="J93" s="10"/>
      <c r="K93" s="10">
        <f>896.7/1000</f>
        <v>0.8967</v>
      </c>
      <c r="L93" s="10"/>
      <c r="M93" s="10">
        <f>2034.89/1000</f>
        <v>2.0348900000000003</v>
      </c>
      <c r="N93" s="10"/>
      <c r="O93" s="10" t="s">
        <v>25</v>
      </c>
      <c r="P93" s="10"/>
      <c r="Q93" s="10">
        <f>6000/1000</f>
        <v>6</v>
      </c>
      <c r="R93" s="3"/>
      <c r="S93" s="1" t="s">
        <v>84</v>
      </c>
    </row>
    <row r="94" spans="1:19" ht="21.75">
      <c r="A94" s="9" t="s">
        <v>168</v>
      </c>
      <c r="C94" s="10">
        <f>372068.49/1000</f>
        <v>372.06849</v>
      </c>
      <c r="D94" s="10"/>
      <c r="E94" s="10">
        <f>226893/1000</f>
        <v>226.893</v>
      </c>
      <c r="F94" s="11"/>
      <c r="G94" s="10">
        <f>96462.76/1000</f>
        <v>96.46275999999999</v>
      </c>
      <c r="H94" s="10"/>
      <c r="I94" s="10">
        <f>56.08/1000</f>
        <v>0.05608</v>
      </c>
      <c r="J94" s="10"/>
      <c r="K94" s="10">
        <f>46217.31/1000</f>
        <v>46.21731</v>
      </c>
      <c r="L94" s="10"/>
      <c r="M94" s="10">
        <f>241.84/1000</f>
        <v>0.24184</v>
      </c>
      <c r="N94" s="10"/>
      <c r="O94" s="10" t="s">
        <v>25</v>
      </c>
      <c r="P94" s="10"/>
      <c r="Q94" s="10">
        <f>2197.5/1000</f>
        <v>2.1975</v>
      </c>
      <c r="R94" s="3"/>
      <c r="S94" s="1" t="s">
        <v>85</v>
      </c>
    </row>
    <row r="95" spans="1:19" ht="21.75">
      <c r="A95" s="9" t="s">
        <v>169</v>
      </c>
      <c r="C95" s="10">
        <f>779478.21/1000</f>
        <v>779.47821</v>
      </c>
      <c r="D95" s="10"/>
      <c r="E95" s="10">
        <f>109770.5/1000</f>
        <v>109.7705</v>
      </c>
      <c r="F95" s="11"/>
      <c r="G95" s="10">
        <f>649768.46/1000</f>
        <v>649.76846</v>
      </c>
      <c r="H95" s="10"/>
      <c r="I95" s="10">
        <f>6784.6/1000</f>
        <v>6.7846</v>
      </c>
      <c r="J95" s="10"/>
      <c r="K95" s="10">
        <f>1910.12/1000</f>
        <v>1.9101199999999998</v>
      </c>
      <c r="L95" s="10"/>
      <c r="M95" s="10">
        <f>11244.53/1000</f>
        <v>11.244530000000001</v>
      </c>
      <c r="N95" s="10"/>
      <c r="O95" s="10" t="s">
        <v>25</v>
      </c>
      <c r="P95" s="10"/>
      <c r="Q95" s="10" t="s">
        <v>25</v>
      </c>
      <c r="R95" s="4"/>
      <c r="S95" s="1" t="s">
        <v>86</v>
      </c>
    </row>
    <row r="96" spans="1:19" ht="21.75">
      <c r="A96" s="9" t="s">
        <v>170</v>
      </c>
      <c r="C96" s="10">
        <f>560701.29/1000</f>
        <v>560.7012900000001</v>
      </c>
      <c r="D96" s="10"/>
      <c r="E96" s="10">
        <f>183561/1000</f>
        <v>183.561</v>
      </c>
      <c r="F96" s="11"/>
      <c r="G96" s="10">
        <f>342091.2/1000</f>
        <v>342.0912</v>
      </c>
      <c r="H96" s="10"/>
      <c r="I96" s="10">
        <f>24126.93/1000</f>
        <v>24.12693</v>
      </c>
      <c r="J96" s="10"/>
      <c r="K96" s="10">
        <f>5624.1/1000</f>
        <v>5.6241</v>
      </c>
      <c r="L96" s="10"/>
      <c r="M96" s="10">
        <f>5298.05/1000</f>
        <v>5.29805</v>
      </c>
      <c r="N96" s="10"/>
      <c r="O96" s="10" t="s">
        <v>25</v>
      </c>
      <c r="P96" s="10"/>
      <c r="Q96" s="10" t="s">
        <v>25</v>
      </c>
      <c r="R96" s="4"/>
      <c r="S96" s="1" t="s">
        <v>87</v>
      </c>
    </row>
    <row r="97" spans="1:19" ht="21.75">
      <c r="A97" s="9" t="s">
        <v>171</v>
      </c>
      <c r="C97" s="10">
        <f>599214.85/1000</f>
        <v>599.21485</v>
      </c>
      <c r="D97" s="10"/>
      <c r="E97" s="10">
        <f>126046.06/1000</f>
        <v>126.04606</v>
      </c>
      <c r="F97" s="11"/>
      <c r="G97" s="10">
        <f>425842.57/1000</f>
        <v>425.84257</v>
      </c>
      <c r="H97" s="10"/>
      <c r="I97" s="10">
        <f>17360.69/1000</f>
        <v>17.360689999999998</v>
      </c>
      <c r="J97" s="10"/>
      <c r="K97" s="10">
        <f>2883.06/1000</f>
        <v>2.88306</v>
      </c>
      <c r="L97" s="10"/>
      <c r="M97" s="10">
        <f>1596.04/1000</f>
        <v>1.59604</v>
      </c>
      <c r="N97" s="10"/>
      <c r="O97" s="10">
        <f>12679.41/1000</f>
        <v>12.67941</v>
      </c>
      <c r="P97" s="10"/>
      <c r="Q97" s="10">
        <f>12807.02/1000</f>
        <v>12.80702</v>
      </c>
      <c r="R97" s="3"/>
      <c r="S97" s="1" t="s">
        <v>88</v>
      </c>
    </row>
    <row r="98" spans="1:19" ht="9.75" customHeight="1">
      <c r="A98" s="5"/>
      <c r="B98" s="5"/>
      <c r="C98" s="6"/>
      <c r="D98" s="6"/>
      <c r="E98" s="6"/>
      <c r="F98" s="5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5"/>
    </row>
    <row r="99" spans="3:18" ht="9.75" customHeight="1">
      <c r="C99" s="3"/>
      <c r="D99" s="3"/>
      <c r="E99" s="3"/>
      <c r="F99" s="1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3:18" ht="21">
      <c r="C100" s="3"/>
      <c r="D100" s="3"/>
      <c r="E100" s="3"/>
      <c r="F100" s="1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="2" customFormat="1" ht="19.5" customHeight="1">
      <c r="A101" s="2" t="s">
        <v>188</v>
      </c>
    </row>
    <row r="102" s="2" customFormat="1" ht="19.5" customHeight="1">
      <c r="A102" s="2" t="s">
        <v>187</v>
      </c>
    </row>
    <row r="103" s="2" customFormat="1" ht="16.5" customHeight="1">
      <c r="S103" s="4" t="s">
        <v>189</v>
      </c>
    </row>
    <row r="104" spans="1:19" ht="19.5" customHeight="1">
      <c r="A104" s="55" t="s">
        <v>106</v>
      </c>
      <c r="B104" s="17"/>
      <c r="C104" s="58" t="s">
        <v>104</v>
      </c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17"/>
      <c r="S104" s="55" t="s">
        <v>107</v>
      </c>
    </row>
    <row r="105" spans="1:19" ht="16.5" customHeight="1">
      <c r="A105" s="56"/>
      <c r="B105" s="18"/>
      <c r="C105" s="59" t="s">
        <v>105</v>
      </c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18"/>
      <c r="S105" s="56"/>
    </row>
    <row r="106" spans="1:19" ht="20.25" customHeight="1">
      <c r="A106" s="56"/>
      <c r="B106" s="18"/>
      <c r="C106" s="20" t="s">
        <v>0</v>
      </c>
      <c r="D106" s="18"/>
      <c r="E106" s="20" t="s">
        <v>1</v>
      </c>
      <c r="F106" s="18"/>
      <c r="G106" s="20" t="s">
        <v>2</v>
      </c>
      <c r="H106" s="18"/>
      <c r="I106" s="20" t="s">
        <v>3</v>
      </c>
      <c r="J106" s="18"/>
      <c r="K106" s="20" t="s">
        <v>4</v>
      </c>
      <c r="L106" s="18"/>
      <c r="M106" s="20" t="s">
        <v>5</v>
      </c>
      <c r="N106" s="20"/>
      <c r="O106" s="20" t="s">
        <v>6</v>
      </c>
      <c r="P106" s="20"/>
      <c r="Q106" s="20" t="s">
        <v>7</v>
      </c>
      <c r="R106" s="18"/>
      <c r="S106" s="56"/>
    </row>
    <row r="107" spans="1:19" ht="19.5" customHeight="1">
      <c r="A107" s="56"/>
      <c r="B107" s="18"/>
      <c r="C107" s="20" t="s">
        <v>8</v>
      </c>
      <c r="D107" s="18"/>
      <c r="E107" s="20" t="s">
        <v>9</v>
      </c>
      <c r="F107" s="18"/>
      <c r="G107" s="20" t="s">
        <v>10</v>
      </c>
      <c r="H107" s="18"/>
      <c r="I107" s="20" t="s">
        <v>11</v>
      </c>
      <c r="J107" s="18"/>
      <c r="K107" s="20" t="s">
        <v>12</v>
      </c>
      <c r="L107" s="18"/>
      <c r="M107" s="20" t="s">
        <v>13</v>
      </c>
      <c r="N107" s="20"/>
      <c r="O107" s="20" t="s">
        <v>14</v>
      </c>
      <c r="P107" s="20"/>
      <c r="Q107" s="20" t="s">
        <v>15</v>
      </c>
      <c r="R107" s="18"/>
      <c r="S107" s="56"/>
    </row>
    <row r="108" spans="1:19" ht="16.5" customHeight="1">
      <c r="A108" s="56"/>
      <c r="B108" s="18"/>
      <c r="C108" s="18" t="s">
        <v>16</v>
      </c>
      <c r="D108" s="18"/>
      <c r="E108" s="18" t="s">
        <v>16</v>
      </c>
      <c r="F108" s="18"/>
      <c r="G108" s="20" t="s">
        <v>17</v>
      </c>
      <c r="H108" s="18"/>
      <c r="I108" s="20" t="s">
        <v>18</v>
      </c>
      <c r="J108" s="18"/>
      <c r="K108" s="20" t="s">
        <v>19</v>
      </c>
      <c r="L108" s="18"/>
      <c r="M108" s="20" t="s">
        <v>16</v>
      </c>
      <c r="N108" s="20"/>
      <c r="O108" s="20" t="s">
        <v>16</v>
      </c>
      <c r="P108" s="20"/>
      <c r="Q108" s="20" t="s">
        <v>20</v>
      </c>
      <c r="R108" s="18"/>
      <c r="S108" s="56"/>
    </row>
    <row r="109" spans="1:19" ht="15" customHeight="1">
      <c r="A109" s="57"/>
      <c r="B109" s="5"/>
      <c r="C109" s="5" t="s">
        <v>16</v>
      </c>
      <c r="D109" s="5"/>
      <c r="E109" s="5" t="s">
        <v>16</v>
      </c>
      <c r="F109" s="5"/>
      <c r="G109" s="19" t="s">
        <v>21</v>
      </c>
      <c r="H109" s="5"/>
      <c r="I109" s="19" t="s">
        <v>22</v>
      </c>
      <c r="J109" s="5"/>
      <c r="K109" s="19" t="s">
        <v>23</v>
      </c>
      <c r="L109" s="5"/>
      <c r="M109" s="5" t="s">
        <v>16</v>
      </c>
      <c r="N109" s="5"/>
      <c r="O109" s="5" t="s">
        <v>16</v>
      </c>
      <c r="P109" s="5"/>
      <c r="Q109" s="5" t="s">
        <v>16</v>
      </c>
      <c r="R109" s="5"/>
      <c r="S109" s="57"/>
    </row>
    <row r="110" spans="1:19" s="2" customFormat="1" ht="21.75">
      <c r="A110" s="8" t="s">
        <v>172</v>
      </c>
      <c r="C110" s="14">
        <f>19272480.34/1000</f>
        <v>19272.48034</v>
      </c>
      <c r="D110" s="14"/>
      <c r="E110" s="14">
        <f>8812580.24/1000</f>
        <v>8812.58024</v>
      </c>
      <c r="F110" s="15"/>
      <c r="G110" s="14">
        <f>7680354.63/1000</f>
        <v>7680.35463</v>
      </c>
      <c r="H110" s="14"/>
      <c r="I110" s="14">
        <f>1403591/1000</f>
        <v>1403.591</v>
      </c>
      <c r="J110" s="14"/>
      <c r="K110" s="14">
        <f>536016.3/1000</f>
        <v>536.0163</v>
      </c>
      <c r="L110" s="14"/>
      <c r="M110" s="14">
        <f>304889.21/1000</f>
        <v>304.88921000000005</v>
      </c>
      <c r="N110" s="14"/>
      <c r="O110" s="14">
        <f>71313.15/1000</f>
        <v>71.31315</v>
      </c>
      <c r="P110" s="14"/>
      <c r="Q110" s="14">
        <f>463735.82/1000</f>
        <v>463.73582</v>
      </c>
      <c r="R110" s="16"/>
      <c r="S110" s="2" t="s">
        <v>89</v>
      </c>
    </row>
    <row r="111" spans="1:19" ht="21.75">
      <c r="A111" s="9" t="s">
        <v>173</v>
      </c>
      <c r="C111" s="10">
        <f>262494.31/1000</f>
        <v>262.49431</v>
      </c>
      <c r="D111" s="10"/>
      <c r="E111" s="10">
        <f>102391.11/1000</f>
        <v>102.39111</v>
      </c>
      <c r="F111" s="11"/>
      <c r="G111" s="10">
        <f>98093.7/1000</f>
        <v>98.0937</v>
      </c>
      <c r="H111" s="10"/>
      <c r="I111" s="10">
        <f>9093.15/1000</f>
        <v>9.09315</v>
      </c>
      <c r="J111" s="10"/>
      <c r="K111" s="10">
        <f>5139.5/1000</f>
        <v>5.1395</v>
      </c>
      <c r="L111" s="10"/>
      <c r="M111" s="10">
        <f>4440.85/1000</f>
        <v>4.44085</v>
      </c>
      <c r="N111" s="10"/>
      <c r="O111" s="10" t="s">
        <v>25</v>
      </c>
      <c r="P111" s="10"/>
      <c r="Q111" s="10">
        <f>43335.98/1000</f>
        <v>43.335980000000006</v>
      </c>
      <c r="R111" s="3"/>
      <c r="S111" s="1" t="s">
        <v>90</v>
      </c>
    </row>
    <row r="112" spans="1:19" ht="21.75">
      <c r="A112" s="9" t="s">
        <v>174</v>
      </c>
      <c r="C112" s="10">
        <f>2006004.65/1000</f>
        <v>2006.0046499999999</v>
      </c>
      <c r="D112" s="10"/>
      <c r="E112" s="10">
        <f>1181717.04/1000</f>
        <v>1181.71704</v>
      </c>
      <c r="F112" s="11"/>
      <c r="G112" s="10">
        <f>488098.81/1000</f>
        <v>488.09881</v>
      </c>
      <c r="H112" s="10"/>
      <c r="I112" s="10">
        <f>149366.99/1000</f>
        <v>149.36699</v>
      </c>
      <c r="J112" s="10"/>
      <c r="K112" s="10">
        <f>82003.45/1000</f>
        <v>82.00345</v>
      </c>
      <c r="L112" s="10"/>
      <c r="M112" s="10">
        <f>57968.98/1000</f>
        <v>57.96898</v>
      </c>
      <c r="N112" s="10"/>
      <c r="O112" s="10">
        <f>9225.91/1000</f>
        <v>9.22591</v>
      </c>
      <c r="P112" s="10"/>
      <c r="Q112" s="10">
        <f>37623.48/1000</f>
        <v>37.62348</v>
      </c>
      <c r="R112" s="3"/>
      <c r="S112" s="1" t="s">
        <v>91</v>
      </c>
    </row>
    <row r="113" spans="1:19" ht="21.75">
      <c r="A113" s="9" t="s">
        <v>175</v>
      </c>
      <c r="C113" s="10">
        <f>413929.43/1000</f>
        <v>413.92942999999997</v>
      </c>
      <c r="D113" s="10"/>
      <c r="E113" s="10">
        <f>326800/1000</f>
        <v>326.8</v>
      </c>
      <c r="F113" s="11"/>
      <c r="G113" s="10">
        <f>62649.52/1000</f>
        <v>62.649519999999995</v>
      </c>
      <c r="H113" s="10"/>
      <c r="I113" s="10">
        <f>11988/1000</f>
        <v>11.988</v>
      </c>
      <c r="J113" s="10"/>
      <c r="K113" s="10">
        <f>6063.65/1000</f>
        <v>6.06365</v>
      </c>
      <c r="L113" s="10"/>
      <c r="M113" s="10">
        <f>6053.21/1000</f>
        <v>6.05321</v>
      </c>
      <c r="N113" s="10"/>
      <c r="O113" s="10">
        <f>375.04/1000</f>
        <v>0.37504000000000004</v>
      </c>
      <c r="P113" s="10"/>
      <c r="Q113" s="10" t="s">
        <v>25</v>
      </c>
      <c r="R113" s="4"/>
      <c r="S113" s="1" t="s">
        <v>92</v>
      </c>
    </row>
    <row r="114" spans="1:19" ht="21.75">
      <c r="A114" s="9" t="s">
        <v>176</v>
      </c>
      <c r="C114" s="10">
        <f>7884304.51/1000</f>
        <v>7884.30451</v>
      </c>
      <c r="D114" s="10"/>
      <c r="E114" s="10">
        <f>3222250.57/1000</f>
        <v>3222.2505699999997</v>
      </c>
      <c r="F114" s="11"/>
      <c r="G114" s="10">
        <f>3628346.29/1000</f>
        <v>3628.34629</v>
      </c>
      <c r="H114" s="10"/>
      <c r="I114" s="10">
        <f>370113.05/1000</f>
        <v>370.11305</v>
      </c>
      <c r="J114" s="10"/>
      <c r="K114" s="10">
        <f>244022.99/1000</f>
        <v>244.02299</v>
      </c>
      <c r="L114" s="10"/>
      <c r="M114" s="10">
        <f>113427.41/1000</f>
        <v>113.42741000000001</v>
      </c>
      <c r="N114" s="10"/>
      <c r="O114" s="10">
        <f>861.12/1000</f>
        <v>0.86112</v>
      </c>
      <c r="P114" s="10"/>
      <c r="Q114" s="10">
        <f>305283.09/1000</f>
        <v>305.28309</v>
      </c>
      <c r="R114" s="3"/>
      <c r="S114" s="1" t="s">
        <v>93</v>
      </c>
    </row>
    <row r="115" spans="1:19" ht="21.75">
      <c r="A115" s="9" t="s">
        <v>177</v>
      </c>
      <c r="C115" s="10">
        <f>3817557.9/1000</f>
        <v>3817.5579</v>
      </c>
      <c r="D115" s="10"/>
      <c r="E115" s="10">
        <f>2344245.15/1000</f>
        <v>2344.2451499999997</v>
      </c>
      <c r="F115" s="11"/>
      <c r="G115" s="10">
        <f>1060059.05/1000</f>
        <v>1060.05905</v>
      </c>
      <c r="H115" s="10"/>
      <c r="I115" s="10">
        <f>164604.19/1000</f>
        <v>164.60419</v>
      </c>
      <c r="J115" s="10"/>
      <c r="K115" s="10">
        <f>104498.01/1000</f>
        <v>104.49801</v>
      </c>
      <c r="L115" s="10"/>
      <c r="M115" s="10">
        <f>74343.14/1000</f>
        <v>74.34314</v>
      </c>
      <c r="N115" s="10"/>
      <c r="O115" s="10">
        <f>60387.92/1000</f>
        <v>60.38792</v>
      </c>
      <c r="P115" s="10"/>
      <c r="Q115" s="10">
        <f>9420.44/1000</f>
        <v>9.420440000000001</v>
      </c>
      <c r="R115" s="3"/>
      <c r="S115" s="1" t="s">
        <v>94</v>
      </c>
    </row>
    <row r="116" spans="1:19" ht="21.75">
      <c r="A116" s="9" t="s">
        <v>178</v>
      </c>
      <c r="C116" s="10">
        <f>387063.25/1000</f>
        <v>387.06325</v>
      </c>
      <c r="D116" s="10"/>
      <c r="E116" s="10">
        <f>103889.74/1000</f>
        <v>103.88974</v>
      </c>
      <c r="F116" s="11"/>
      <c r="G116" s="10">
        <f>211145.62/1000</f>
        <v>211.14562</v>
      </c>
      <c r="H116" s="10"/>
      <c r="I116" s="10">
        <f>56552.41/1000</f>
        <v>56.55241</v>
      </c>
      <c r="J116" s="10"/>
      <c r="K116" s="10">
        <f>10765.64/1000</f>
        <v>10.76564</v>
      </c>
      <c r="L116" s="10"/>
      <c r="M116" s="10">
        <f>4709.85/1000</f>
        <v>4.70985</v>
      </c>
      <c r="N116" s="10"/>
      <c r="O116" s="10" t="s">
        <v>25</v>
      </c>
      <c r="P116" s="10"/>
      <c r="Q116" s="10" t="s">
        <v>25</v>
      </c>
      <c r="R116" s="4"/>
      <c r="S116" s="1" t="s">
        <v>95</v>
      </c>
    </row>
    <row r="117" spans="1:19" ht="21.75">
      <c r="A117" s="9" t="s">
        <v>179</v>
      </c>
      <c r="C117" s="10">
        <f>195410.33/1000</f>
        <v>195.41033</v>
      </c>
      <c r="D117" s="10"/>
      <c r="E117" s="10">
        <f>101173.91/1000</f>
        <v>101.17391</v>
      </c>
      <c r="F117" s="11"/>
      <c r="G117" s="10">
        <f>76780.24/1000</f>
        <v>76.78024</v>
      </c>
      <c r="H117" s="10"/>
      <c r="I117" s="10">
        <f>14171.32/1000</f>
        <v>14.17132</v>
      </c>
      <c r="J117" s="10"/>
      <c r="K117" s="10">
        <f>847.84/1000</f>
        <v>0.84784</v>
      </c>
      <c r="L117" s="10"/>
      <c r="M117" s="10">
        <f>2106.52/1000</f>
        <v>2.10652</v>
      </c>
      <c r="N117" s="10"/>
      <c r="O117" s="10" t="s">
        <v>25</v>
      </c>
      <c r="P117" s="10"/>
      <c r="Q117" s="10">
        <f>330.51/1000</f>
        <v>0.33050999999999997</v>
      </c>
      <c r="R117" s="4"/>
      <c r="S117" s="1" t="s">
        <v>96</v>
      </c>
    </row>
    <row r="118" spans="1:19" ht="21.75">
      <c r="A118" s="9" t="s">
        <v>180</v>
      </c>
      <c r="C118" s="10">
        <f>1633271.42/1000</f>
        <v>1633.27142</v>
      </c>
      <c r="D118" s="10"/>
      <c r="E118" s="10">
        <f>700776.21/1000</f>
        <v>700.77621</v>
      </c>
      <c r="F118" s="11"/>
      <c r="G118" s="10">
        <f>758512.15/1000</f>
        <v>758.51215</v>
      </c>
      <c r="H118" s="10"/>
      <c r="I118" s="10">
        <f>52251.88/1000</f>
        <v>52.25188</v>
      </c>
      <c r="J118" s="10"/>
      <c r="K118" s="10">
        <f>42021.55/1000</f>
        <v>42.021550000000005</v>
      </c>
      <c r="L118" s="10"/>
      <c r="M118" s="10">
        <f>17145.03/1000</f>
        <v>17.14503</v>
      </c>
      <c r="N118" s="10"/>
      <c r="O118" s="10">
        <f>48.72/1000</f>
        <v>0.04872</v>
      </c>
      <c r="P118" s="10"/>
      <c r="Q118" s="10">
        <f>62515.88/1000</f>
        <v>62.515879999999996</v>
      </c>
      <c r="R118" s="3"/>
      <c r="S118" s="1" t="s">
        <v>97</v>
      </c>
    </row>
    <row r="119" spans="1:19" ht="21.75">
      <c r="A119" s="9" t="s">
        <v>181</v>
      </c>
      <c r="C119" s="10">
        <f>61475.51/1000</f>
        <v>61.47551</v>
      </c>
      <c r="D119" s="10"/>
      <c r="E119" s="10">
        <f>19500/1000</f>
        <v>19.5</v>
      </c>
      <c r="F119" s="11"/>
      <c r="G119" s="10">
        <f>32814.83/1000</f>
        <v>32.81483</v>
      </c>
      <c r="H119" s="10"/>
      <c r="I119" s="10">
        <f>5685.67/1000</f>
        <v>5.68567</v>
      </c>
      <c r="J119" s="10"/>
      <c r="K119" s="10">
        <f>207.63/1000</f>
        <v>0.20763</v>
      </c>
      <c r="L119" s="10"/>
      <c r="M119" s="10">
        <f>3267.38/1000</f>
        <v>3.26738</v>
      </c>
      <c r="N119" s="10"/>
      <c r="O119" s="10" t="s">
        <v>25</v>
      </c>
      <c r="P119" s="10"/>
      <c r="Q119" s="10" t="s">
        <v>25</v>
      </c>
      <c r="R119" s="4"/>
      <c r="S119" s="1" t="s">
        <v>98</v>
      </c>
    </row>
    <row r="120" spans="1:19" ht="21.75">
      <c r="A120" s="9" t="s">
        <v>182</v>
      </c>
      <c r="C120" s="10">
        <f>1252952.18/1000</f>
        <v>1252.95218</v>
      </c>
      <c r="D120" s="10"/>
      <c r="E120" s="10">
        <f>335118.93/1000</f>
        <v>335.11893</v>
      </c>
      <c r="F120" s="11"/>
      <c r="G120" s="10">
        <f>525495.84/1000</f>
        <v>525.4958399999999</v>
      </c>
      <c r="H120" s="10"/>
      <c r="I120" s="10">
        <f>371982.75/1000</f>
        <v>371.98275</v>
      </c>
      <c r="J120" s="10"/>
      <c r="K120" s="10">
        <f>9883.71/1000</f>
        <v>9.883709999999999</v>
      </c>
      <c r="L120" s="10"/>
      <c r="M120" s="10">
        <f>5816.29/1000</f>
        <v>5.81629</v>
      </c>
      <c r="N120" s="10"/>
      <c r="O120" s="10" t="s">
        <v>25</v>
      </c>
      <c r="P120" s="10"/>
      <c r="Q120" s="10">
        <f>4654.67/1000</f>
        <v>4.65467</v>
      </c>
      <c r="R120" s="3"/>
      <c r="S120" s="1" t="s">
        <v>99</v>
      </c>
    </row>
    <row r="121" spans="1:19" ht="21.75">
      <c r="A121" s="9" t="s">
        <v>183</v>
      </c>
      <c r="C121" s="10">
        <f>77923.1/1000</f>
        <v>77.9231</v>
      </c>
      <c r="D121" s="10"/>
      <c r="E121" s="10">
        <f>40600/1000</f>
        <v>40.6</v>
      </c>
      <c r="F121" s="11"/>
      <c r="G121" s="10">
        <f>26600/1000</f>
        <v>26.6</v>
      </c>
      <c r="H121" s="10"/>
      <c r="I121" s="10">
        <f>4858/1000</f>
        <v>4.858</v>
      </c>
      <c r="J121" s="10"/>
      <c r="K121" s="10">
        <f>4980.5/1000</f>
        <v>4.9805</v>
      </c>
      <c r="L121" s="10"/>
      <c r="M121" s="10">
        <f>870/1000</f>
        <v>0.87</v>
      </c>
      <c r="N121" s="10"/>
      <c r="O121" s="10" t="s">
        <v>25</v>
      </c>
      <c r="P121" s="10"/>
      <c r="Q121" s="10">
        <f>14.6/1000</f>
        <v>0.0146</v>
      </c>
      <c r="R121" s="4"/>
      <c r="S121" s="1" t="s">
        <v>100</v>
      </c>
    </row>
    <row r="122" spans="1:19" ht="21.75">
      <c r="A122" s="9" t="s">
        <v>184</v>
      </c>
      <c r="C122" s="10">
        <f>15482.46/1000</f>
        <v>15.48246</v>
      </c>
      <c r="D122" s="10"/>
      <c r="E122" s="10">
        <f>7150/1000</f>
        <v>7.15</v>
      </c>
      <c r="F122" s="11"/>
      <c r="G122" s="10">
        <f>7498.5/1000</f>
        <v>7.4985</v>
      </c>
      <c r="H122" s="10"/>
      <c r="I122" s="10" t="s">
        <v>25</v>
      </c>
      <c r="J122" s="10"/>
      <c r="K122" s="10">
        <f>817.96/1000</f>
        <v>0.81796</v>
      </c>
      <c r="L122" s="10"/>
      <c r="M122" s="10">
        <f>16/1000</f>
        <v>0.016</v>
      </c>
      <c r="N122" s="10"/>
      <c r="O122" s="10" t="s">
        <v>25</v>
      </c>
      <c r="P122" s="10"/>
      <c r="Q122" s="10" t="s">
        <v>25</v>
      </c>
      <c r="R122" s="4"/>
      <c r="S122" s="1" t="s">
        <v>101</v>
      </c>
    </row>
    <row r="123" spans="1:19" ht="21.75">
      <c r="A123" s="9" t="s">
        <v>185</v>
      </c>
      <c r="C123" s="10">
        <f>767046.12/1000</f>
        <v>767.04612</v>
      </c>
      <c r="D123" s="10"/>
      <c r="E123" s="10">
        <f>197619.71/1000</f>
        <v>197.61971</v>
      </c>
      <c r="F123" s="11"/>
      <c r="G123" s="10">
        <f>428710.73/1000</f>
        <v>428.71072999999996</v>
      </c>
      <c r="H123" s="10"/>
      <c r="I123" s="10">
        <f>118299.41/1000</f>
        <v>118.29941000000001</v>
      </c>
      <c r="J123" s="10"/>
      <c r="K123" s="10">
        <f>15053.56/1000</f>
        <v>15.05356</v>
      </c>
      <c r="L123" s="10"/>
      <c r="M123" s="10">
        <f>6443.9/1000</f>
        <v>6.443899999999999</v>
      </c>
      <c r="N123" s="10"/>
      <c r="O123" s="10">
        <f>361.64/1000</f>
        <v>0.36163999999999996</v>
      </c>
      <c r="P123" s="10"/>
      <c r="Q123" s="10">
        <f>557.18/1000</f>
        <v>0.5571799999999999</v>
      </c>
      <c r="R123" s="4"/>
      <c r="S123" s="1" t="s">
        <v>102</v>
      </c>
    </row>
    <row r="124" spans="1:19" ht="21.75">
      <c r="A124" s="9" t="s">
        <v>186</v>
      </c>
      <c r="C124" s="10">
        <f>497565.17/1000</f>
        <v>497.56516999999997</v>
      </c>
      <c r="D124" s="10"/>
      <c r="E124" s="10">
        <f>129347.87/1000</f>
        <v>129.34787</v>
      </c>
      <c r="F124" s="11"/>
      <c r="G124" s="10">
        <f>275549.35/1000</f>
        <v>275.54935</v>
      </c>
      <c r="H124" s="10"/>
      <c r="I124" s="10">
        <f>74624.18/1000</f>
        <v>74.62418</v>
      </c>
      <c r="J124" s="10"/>
      <c r="K124" s="10">
        <f>9710.3/1000</f>
        <v>9.7103</v>
      </c>
      <c r="L124" s="10"/>
      <c r="M124" s="10">
        <f>8280.67/1000</f>
        <v>8.28067</v>
      </c>
      <c r="N124" s="10"/>
      <c r="O124" s="10">
        <f>52.8/1000</f>
        <v>0.0528</v>
      </c>
      <c r="P124" s="10"/>
      <c r="Q124" s="10" t="s">
        <v>25</v>
      </c>
      <c r="R124" s="4"/>
      <c r="S124" s="1" t="s">
        <v>103</v>
      </c>
    </row>
    <row r="125" spans="1:19" ht="9.75" customHeight="1">
      <c r="A125" s="5"/>
      <c r="B125" s="5"/>
      <c r="C125" s="12"/>
      <c r="D125" s="12"/>
      <c r="E125" s="12"/>
      <c r="F125" s="13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7"/>
      <c r="S125" s="5"/>
    </row>
    <row r="126" spans="3:18" ht="21.75">
      <c r="C126" s="4"/>
      <c r="D126" s="4"/>
      <c r="E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3:18" ht="21.75">
      <c r="C127" s="4"/>
      <c r="D127" s="4"/>
      <c r="E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3:18" ht="21.75">
      <c r="C128" s="4"/>
      <c r="D128" s="4"/>
      <c r="E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3:18" ht="21.75">
      <c r="C129" s="4"/>
      <c r="D129" s="4"/>
      <c r="E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3:18" ht="21.75">
      <c r="C130" s="4"/>
      <c r="D130" s="4"/>
      <c r="E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3:18" ht="21.75">
      <c r="C131" s="4"/>
      <c r="D131" s="4"/>
      <c r="E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3:18" ht="21.75">
      <c r="C132" s="4"/>
      <c r="D132" s="4"/>
      <c r="E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3:18" ht="21.75">
      <c r="C133" s="4"/>
      <c r="D133" s="4"/>
      <c r="E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3:18" ht="21.75">
      <c r="C134" s="4"/>
      <c r="D134" s="4"/>
      <c r="E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3:18" ht="21.75">
      <c r="C135" s="4"/>
      <c r="D135" s="4"/>
      <c r="E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3:18" ht="21.75">
      <c r="C136" s="4"/>
      <c r="D136" s="4"/>
      <c r="E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3:18" ht="21.75">
      <c r="C137" s="4"/>
      <c r="D137" s="4"/>
      <c r="E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3:18" ht="21.75">
      <c r="C138" s="4"/>
      <c r="D138" s="4"/>
      <c r="E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3:18" ht="21.75">
      <c r="C139" s="4"/>
      <c r="D139" s="4"/>
      <c r="E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3:18" ht="21.75">
      <c r="C140" s="4"/>
      <c r="D140" s="4"/>
      <c r="E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3:18" ht="21.75">
      <c r="C141" s="4"/>
      <c r="D141" s="4"/>
      <c r="E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3:18" ht="21.75">
      <c r="C142" s="4"/>
      <c r="D142" s="4"/>
      <c r="E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3:18" ht="21.75">
      <c r="C143" s="4"/>
      <c r="D143" s="4"/>
      <c r="E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3:18" ht="21.75">
      <c r="C144" s="4"/>
      <c r="D144" s="4"/>
      <c r="E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3:18" ht="21.75">
      <c r="C145" s="4"/>
      <c r="D145" s="4"/>
      <c r="E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3:18" ht="21.75">
      <c r="C146" s="4"/>
      <c r="D146" s="4"/>
      <c r="E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3:18" ht="21.75">
      <c r="C147" s="4"/>
      <c r="D147" s="4"/>
      <c r="E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</sheetData>
  <mergeCells count="16">
    <mergeCell ref="A4:A9"/>
    <mergeCell ref="S4:S9"/>
    <mergeCell ref="C4:Q4"/>
    <mergeCell ref="C5:Q5"/>
    <mergeCell ref="A40:A45"/>
    <mergeCell ref="C40:Q40"/>
    <mergeCell ref="S40:S45"/>
    <mergeCell ref="C41:Q41"/>
    <mergeCell ref="A72:A77"/>
    <mergeCell ref="C72:Q72"/>
    <mergeCell ref="S72:S77"/>
    <mergeCell ref="C73:Q73"/>
    <mergeCell ref="A104:A109"/>
    <mergeCell ref="C104:Q104"/>
    <mergeCell ref="S104:S109"/>
    <mergeCell ref="C105:Q105"/>
  </mergeCells>
  <printOptions horizontalCentered="1"/>
  <pageMargins left="0.7480314960629921" right="0" top="0.7480314960629921" bottom="0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cp:lastPrinted>2003-05-28T10:26:05Z</cp:lastPrinted>
  <dcterms:created xsi:type="dcterms:W3CDTF">2003-03-12T07:25:34Z</dcterms:created>
  <dcterms:modified xsi:type="dcterms:W3CDTF">2005-02-09T06:21:29Z</dcterms:modified>
  <cp:category/>
  <cp:version/>
  <cp:contentType/>
  <cp:contentStatus/>
</cp:coreProperties>
</file>