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5970" activeTab="0"/>
  </bookViews>
  <sheets>
    <sheet name="23" sheetId="1" r:id="rId1"/>
    <sheet name="หาร" sheetId="2" r:id="rId2"/>
  </sheets>
  <definedNames/>
  <calcPr fullCalcOnLoad="1"/>
</workbook>
</file>

<file path=xl/sharedStrings.xml><?xml version="1.0" encoding="utf-8"?>
<sst xmlns="http://schemas.openxmlformats.org/spreadsheetml/2006/main" count="406" uniqueCount="208">
  <si>
    <t xml:space="preserve">               </t>
  </si>
  <si>
    <t xml:space="preserve">   อาคาร และ   </t>
  </si>
  <si>
    <t xml:space="preserve">  เครื่องจักร  </t>
  </si>
  <si>
    <t xml:space="preserve">  เครื่องใช้   </t>
  </si>
  <si>
    <t xml:space="preserve">   ยานพาหนะ    </t>
  </si>
  <si>
    <t xml:space="preserve">     อื่น ๆ    </t>
  </si>
  <si>
    <t xml:space="preserve">      รวม      </t>
  </si>
  <si>
    <t xml:space="preserve"> สิ่งก่อสร้าง  </t>
  </si>
  <si>
    <t xml:space="preserve">   และอุปกรณ์  </t>
  </si>
  <si>
    <t xml:space="preserve">   สำนักงาน    </t>
  </si>
  <si>
    <t xml:space="preserve">    Vehicle    </t>
  </si>
  <si>
    <t xml:space="preserve">     Other     </t>
  </si>
  <si>
    <t xml:space="preserve">     Total     </t>
  </si>
  <si>
    <t xml:space="preserve"> Building and  </t>
  </si>
  <si>
    <t xml:space="preserve">   Machinery   </t>
  </si>
  <si>
    <t xml:space="preserve">    Office     </t>
  </si>
  <si>
    <t xml:space="preserve">  fixed assets </t>
  </si>
  <si>
    <t xml:space="preserve"> construction  </t>
  </si>
  <si>
    <t xml:space="preserve"> and equipment </t>
  </si>
  <si>
    <t xml:space="preserve">  appliances   </t>
  </si>
  <si>
    <t xml:space="preserve">  Central Region                   </t>
  </si>
  <si>
    <t xml:space="preserve">        Samutprakan                </t>
  </si>
  <si>
    <t xml:space="preserve">              -</t>
  </si>
  <si>
    <t xml:space="preserve">        Nonthaburi                 </t>
  </si>
  <si>
    <t xml:space="preserve">        Pathum Thani               </t>
  </si>
  <si>
    <t xml:space="preserve">        Phra Nakhon Si Ayutthaya   </t>
  </si>
  <si>
    <t xml:space="preserve">        Ang Thong                  </t>
  </si>
  <si>
    <t xml:space="preserve">        Lopburi                    </t>
  </si>
  <si>
    <t xml:space="preserve">        Singburi                   </t>
  </si>
  <si>
    <t xml:space="preserve">        Chainat                    </t>
  </si>
  <si>
    <t xml:space="preserve">        Saraburi                   </t>
  </si>
  <si>
    <t xml:space="preserve">        Chonburi                   </t>
  </si>
  <si>
    <t xml:space="preserve">        Rayong                     </t>
  </si>
  <si>
    <t xml:space="preserve">        Chanthaburi                </t>
  </si>
  <si>
    <t xml:space="preserve">        Trat                       </t>
  </si>
  <si>
    <t xml:space="preserve">        Chachoengsao               </t>
  </si>
  <si>
    <t xml:space="preserve">        Prachinburi                </t>
  </si>
  <si>
    <t xml:space="preserve">        Nakhonnayok                </t>
  </si>
  <si>
    <t xml:space="preserve">        Sra Kaew                   </t>
  </si>
  <si>
    <t xml:space="preserve">        Ratchaburi                 </t>
  </si>
  <si>
    <t xml:space="preserve">        Kanchanaburi               </t>
  </si>
  <si>
    <t xml:space="preserve">        Suphanburi                 </t>
  </si>
  <si>
    <t xml:space="preserve">        Nakhon Pathom              </t>
  </si>
  <si>
    <t xml:space="preserve">        Samutsakon                 </t>
  </si>
  <si>
    <t xml:space="preserve">        Samutsongkram              </t>
  </si>
  <si>
    <t xml:space="preserve">        Phetchaburi                </t>
  </si>
  <si>
    <t xml:space="preserve">        Prachuapkhiri Khan         </t>
  </si>
  <si>
    <t xml:space="preserve">  Northern Region                  </t>
  </si>
  <si>
    <t xml:space="preserve">        Chiang Mai                 </t>
  </si>
  <si>
    <t xml:space="preserve">        Lamphun                    </t>
  </si>
  <si>
    <t xml:space="preserve">        Lampang                    </t>
  </si>
  <si>
    <t xml:space="preserve">        Uttaradit                  </t>
  </si>
  <si>
    <t xml:space="preserve">        Phrae                      </t>
  </si>
  <si>
    <t xml:space="preserve">        Nan                        </t>
  </si>
  <si>
    <t xml:space="preserve">        Phayao                     </t>
  </si>
  <si>
    <t xml:space="preserve">        Chiang Rai                 </t>
  </si>
  <si>
    <t xml:space="preserve">        Maehongson                 </t>
  </si>
  <si>
    <t xml:space="preserve">        Nakhonsawan                </t>
  </si>
  <si>
    <t xml:space="preserve">        Uthaithani                 </t>
  </si>
  <si>
    <t xml:space="preserve">        Kamphaeng Phet             </t>
  </si>
  <si>
    <t xml:space="preserve">        Tak                        </t>
  </si>
  <si>
    <t xml:space="preserve">        Sukhothai                  </t>
  </si>
  <si>
    <t xml:space="preserve">        Phisanulok                 </t>
  </si>
  <si>
    <t xml:space="preserve">        Phichit                    </t>
  </si>
  <si>
    <t xml:space="preserve">        Phetchabun                 </t>
  </si>
  <si>
    <t xml:space="preserve">  Northeastern Region              </t>
  </si>
  <si>
    <t xml:space="preserve">        Nakhon Ratchasima          </t>
  </si>
  <si>
    <t xml:space="preserve">        Buriram                    </t>
  </si>
  <si>
    <t xml:space="preserve">        Surin                      </t>
  </si>
  <si>
    <t xml:space="preserve">        Sisaket                    </t>
  </si>
  <si>
    <t xml:space="preserve">        Ubonratchathani            </t>
  </si>
  <si>
    <t xml:space="preserve">        Yasothon                   </t>
  </si>
  <si>
    <t xml:space="preserve">        Chaiyaphum                 </t>
  </si>
  <si>
    <t xml:space="preserve">        Amnat Charoen              </t>
  </si>
  <si>
    <t xml:space="preserve">        Nongbualamphu              </t>
  </si>
  <si>
    <t xml:space="preserve">        Khonkaen                   </t>
  </si>
  <si>
    <t xml:space="preserve">        Udonthani                  </t>
  </si>
  <si>
    <t xml:space="preserve">        Loei                       </t>
  </si>
  <si>
    <t xml:space="preserve">        Nongkhai                   </t>
  </si>
  <si>
    <t xml:space="preserve">        Mahasarakham               </t>
  </si>
  <si>
    <t xml:space="preserve">        Roi-et                     </t>
  </si>
  <si>
    <t xml:space="preserve">        Kalasin                    </t>
  </si>
  <si>
    <t xml:space="preserve">        Sakonnakhon                </t>
  </si>
  <si>
    <t xml:space="preserve">        Naknon Phanom              </t>
  </si>
  <si>
    <t xml:space="preserve">        Mukdahan                   </t>
  </si>
  <si>
    <t xml:space="preserve">  Southern Region                  </t>
  </si>
  <si>
    <t xml:space="preserve">        Nakhon Si Thammarat        </t>
  </si>
  <si>
    <t xml:space="preserve">        Krabi                      </t>
  </si>
  <si>
    <t xml:space="preserve">        Phangnga                   </t>
  </si>
  <si>
    <t xml:space="preserve">        Phuket                     </t>
  </si>
  <si>
    <t xml:space="preserve">        Suratthani                 </t>
  </si>
  <si>
    <t xml:space="preserve">        Ranong                     </t>
  </si>
  <si>
    <t xml:space="preserve">        Chumphon                   </t>
  </si>
  <si>
    <t xml:space="preserve">        Songkhla                   </t>
  </si>
  <si>
    <t xml:space="preserve">        Satun                      </t>
  </si>
  <si>
    <t xml:space="preserve">        Trang                      </t>
  </si>
  <si>
    <t xml:space="preserve">        Phatthalung                </t>
  </si>
  <si>
    <t xml:space="preserve">        Pattani                    </t>
  </si>
  <si>
    <t xml:space="preserve">        Yala                       </t>
  </si>
  <si>
    <t xml:space="preserve">        Narathiwat                 </t>
  </si>
  <si>
    <t>จังหวัด</t>
  </si>
  <si>
    <t>Changwat</t>
  </si>
  <si>
    <t>TABLE 22 DEPRECIATION FOR FIXED ASSETS IN 2001 BY CHANGWAT</t>
  </si>
  <si>
    <t xml:space="preserve">ภาคกลาง                          </t>
  </si>
  <si>
    <t xml:space="preserve">สมุทรปราการ         </t>
  </si>
  <si>
    <t xml:space="preserve">นนทบุรี             </t>
  </si>
  <si>
    <t xml:space="preserve">ปทุมธานี            </t>
  </si>
  <si>
    <t xml:space="preserve">พระนครศรีอยุธยา     </t>
  </si>
  <si>
    <t xml:space="preserve">อ่างทอง             </t>
  </si>
  <si>
    <t xml:space="preserve">ลพบุรี              </t>
  </si>
  <si>
    <t xml:space="preserve">สิงห์บุรี           </t>
  </si>
  <si>
    <t xml:space="preserve">ชัยนาท              </t>
  </si>
  <si>
    <t xml:space="preserve">สระบุรี             </t>
  </si>
  <si>
    <t xml:space="preserve">ชลบุรี              </t>
  </si>
  <si>
    <t xml:space="preserve">ระยอง               </t>
  </si>
  <si>
    <t xml:space="preserve">จันทบุรี            </t>
  </si>
  <si>
    <t xml:space="preserve">ตราด                </t>
  </si>
  <si>
    <t xml:space="preserve">ฉะเชิงเทรา          </t>
  </si>
  <si>
    <t xml:space="preserve">ปราจีนบุรี          </t>
  </si>
  <si>
    <t xml:space="preserve">นครนายก             </t>
  </si>
  <si>
    <t xml:space="preserve">สระแก้ว             </t>
  </si>
  <si>
    <t xml:space="preserve">ราชบุรี             </t>
  </si>
  <si>
    <t xml:space="preserve">กาญจนบุรี           </t>
  </si>
  <si>
    <t xml:space="preserve">สุพรรณบุรี          </t>
  </si>
  <si>
    <t xml:space="preserve">นครปฐม              </t>
  </si>
  <si>
    <t xml:space="preserve">สมุทรสาคร           </t>
  </si>
  <si>
    <t xml:space="preserve">สมุทรสงคราม         </t>
  </si>
  <si>
    <t xml:space="preserve">เพชรบุรี            </t>
  </si>
  <si>
    <t xml:space="preserve">ประจวบคีรีขันธ์     </t>
  </si>
  <si>
    <t xml:space="preserve">ภาคเหนือ                         </t>
  </si>
  <si>
    <t xml:space="preserve">เชียงใหม่           </t>
  </si>
  <si>
    <t xml:space="preserve">ลำพูน               </t>
  </si>
  <si>
    <t xml:space="preserve">ลำปาง               </t>
  </si>
  <si>
    <t xml:space="preserve">อุตรดิตถ์           </t>
  </si>
  <si>
    <t xml:space="preserve">แพร่                </t>
  </si>
  <si>
    <t xml:space="preserve">น่าน                </t>
  </si>
  <si>
    <t xml:space="preserve">พะเยา               </t>
  </si>
  <si>
    <t xml:space="preserve">เชียงราย            </t>
  </si>
  <si>
    <t xml:space="preserve">แม่ฮ่องสอน          </t>
  </si>
  <si>
    <t xml:space="preserve">นครสวรรค์           </t>
  </si>
  <si>
    <t xml:space="preserve">อุทัยธานี           </t>
  </si>
  <si>
    <t xml:space="preserve">กำแพงเพชร           </t>
  </si>
  <si>
    <t xml:space="preserve">ตาก                 </t>
  </si>
  <si>
    <t xml:space="preserve">สุโขทัย             </t>
  </si>
  <si>
    <t xml:space="preserve">พิษณุโลก            </t>
  </si>
  <si>
    <t xml:space="preserve">พิจิตร              </t>
  </si>
  <si>
    <t xml:space="preserve">เพชรบูรณ์           </t>
  </si>
  <si>
    <t xml:space="preserve">ภาคตะวันออกเฉียงเหนือ                        </t>
  </si>
  <si>
    <t xml:space="preserve">นครราชสีมา          </t>
  </si>
  <si>
    <t xml:space="preserve">บุรีรัมย์           </t>
  </si>
  <si>
    <t xml:space="preserve">สุรินทร์            </t>
  </si>
  <si>
    <t xml:space="preserve">ศรีสะเกษ            </t>
  </si>
  <si>
    <t xml:space="preserve">อุบลราชธานี         </t>
  </si>
  <si>
    <t xml:space="preserve">ยโสธร               </t>
  </si>
  <si>
    <t xml:space="preserve">ชัยภูมิ             </t>
  </si>
  <si>
    <t xml:space="preserve">อำนาจเจริญ          </t>
  </si>
  <si>
    <t xml:space="preserve">หนองบัวลำภู         </t>
  </si>
  <si>
    <t xml:space="preserve">ขอนแก่น             </t>
  </si>
  <si>
    <t xml:space="preserve">อุดรธานี            </t>
  </si>
  <si>
    <t xml:space="preserve">เลย                 </t>
  </si>
  <si>
    <t xml:space="preserve">หนองคาย             </t>
  </si>
  <si>
    <t xml:space="preserve">มหาสารคาม           </t>
  </si>
  <si>
    <t xml:space="preserve">ร้อยเอ็ด            </t>
  </si>
  <si>
    <t xml:space="preserve">กาฬสินธุ์           </t>
  </si>
  <si>
    <t xml:space="preserve">สกลนคร              </t>
  </si>
  <si>
    <t xml:space="preserve">นครพนม              </t>
  </si>
  <si>
    <t xml:space="preserve">มุกดาหาร            </t>
  </si>
  <si>
    <t xml:space="preserve">ภาคใต้                           </t>
  </si>
  <si>
    <t xml:space="preserve">นครศรีธรรมราช       </t>
  </si>
  <si>
    <t xml:space="preserve">กระบี่              </t>
  </si>
  <si>
    <t xml:space="preserve">พังงา               </t>
  </si>
  <si>
    <t xml:space="preserve">ภูเก็ต              </t>
  </si>
  <si>
    <t xml:space="preserve">สุราษฎร์ธานี        </t>
  </si>
  <si>
    <t xml:space="preserve">ระนอง               </t>
  </si>
  <si>
    <t xml:space="preserve">ชุมพร               </t>
  </si>
  <si>
    <t xml:space="preserve">สงขลา               </t>
  </si>
  <si>
    <t xml:space="preserve">สตูล                </t>
  </si>
  <si>
    <t xml:space="preserve">ตรัง                </t>
  </si>
  <si>
    <t xml:space="preserve">พัทลุง              </t>
  </si>
  <si>
    <t xml:space="preserve">ปัตตานี             </t>
  </si>
  <si>
    <t xml:space="preserve">ยะลา                </t>
  </si>
  <si>
    <t xml:space="preserve">นราธิวาส            </t>
  </si>
  <si>
    <t>ตาราง    22  ค่าเสื่อมราคาสินทรัพย์ถาวรปี 2544 จำแนกตามจังหวัด</t>
  </si>
  <si>
    <t>ล้านบาท : Million baht</t>
  </si>
  <si>
    <t>พันบาท : In Thousand Baht</t>
  </si>
  <si>
    <t xml:space="preserve">ยานพาหนะ    </t>
  </si>
  <si>
    <t xml:space="preserve">Vehicle    </t>
  </si>
  <si>
    <t xml:space="preserve">อื่น ๆ    </t>
  </si>
  <si>
    <t xml:space="preserve">Other     </t>
  </si>
  <si>
    <t xml:space="preserve">fixed assets </t>
  </si>
  <si>
    <t xml:space="preserve">สำนักงาน    </t>
  </si>
  <si>
    <t xml:space="preserve">Office     </t>
  </si>
  <si>
    <t xml:space="preserve">เครื่องใช้   </t>
  </si>
  <si>
    <t xml:space="preserve">appliances   </t>
  </si>
  <si>
    <t xml:space="preserve">เครื่องจักร  </t>
  </si>
  <si>
    <t xml:space="preserve">และอุปกรณ์  </t>
  </si>
  <si>
    <t xml:space="preserve">Machinery   </t>
  </si>
  <si>
    <t xml:space="preserve">อาคาร และ   </t>
  </si>
  <si>
    <t xml:space="preserve">สิ่งก่อสร้าง  </t>
  </si>
  <si>
    <t xml:space="preserve">Building and  </t>
  </si>
  <si>
    <t xml:space="preserve">construction  </t>
  </si>
  <si>
    <t xml:space="preserve">รวม      </t>
  </si>
  <si>
    <t xml:space="preserve">Total     </t>
  </si>
  <si>
    <t xml:space="preserve">and equipment </t>
  </si>
  <si>
    <t xml:space="preserve">     ที่มา: รายงานการสำรวจการประกอบกิจการโรงแรมและเกสต์เฮาส์ พ.ศ.2545 สำนักงานสถิติแห่งชาติ กระทรวงเทคโนโลยีสารสนเทศและการสื่อสาร</t>
  </si>
  <si>
    <t>Source: Report of the 2002 Hotels and Guest Houses, National Statistical Office, Ministry of Information and Communication Technology.</t>
  </si>
  <si>
    <t>ตาราง    23 ค่าเสื่อมราคาสินทรัพย์ถาวรปี 2544 จำแนกตามจังหวัด ภาคกลาง</t>
  </si>
  <si>
    <t>TABLE  23 DEPRECIATION FOR FIXED ASSETS IN 2001 BY CHANGWAT, CENTRAL REGION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</si>
</sst>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"/>
  </numFmts>
  <fonts count="8">
    <font>
      <sz val="14"/>
      <name val="Cordia New"/>
      <family val="0"/>
    </font>
    <font>
      <sz val="14"/>
      <name val="Angsana New"/>
      <family val="1"/>
    </font>
    <font>
      <b/>
      <sz val="14"/>
      <name val="Angsana New"/>
      <family val="1"/>
    </font>
    <font>
      <b/>
      <sz val="15"/>
      <name val="Angsana New"/>
      <family val="1"/>
    </font>
    <font>
      <sz val="15"/>
      <name val="Angsana New"/>
      <family val="1"/>
    </font>
    <font>
      <b/>
      <sz val="13"/>
      <name val="Angsana New"/>
      <family val="1"/>
    </font>
    <font>
      <sz val="12"/>
      <name val="Angsana New"/>
      <family val="1"/>
    </font>
    <font>
      <sz val="8"/>
      <name val="Cordia New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left" indent="2"/>
    </xf>
    <xf numFmtId="187" fontId="1" fillId="0" borderId="0" xfId="0" applyNumberFormat="1" applyFont="1" applyAlignment="1">
      <alignment horizontal="right"/>
    </xf>
    <xf numFmtId="187" fontId="1" fillId="0" borderId="1" xfId="0" applyNumberFormat="1" applyFont="1" applyBorder="1" applyAlignment="1">
      <alignment horizontal="right"/>
    </xf>
    <xf numFmtId="187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 indent="2"/>
    </xf>
    <xf numFmtId="0" fontId="5" fillId="0" borderId="0" xfId="0" applyFont="1" applyAlignment="1">
      <alignment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187" fontId="4" fillId="0" borderId="1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187" fontId="4" fillId="0" borderId="0" xfId="0" applyNumberFormat="1" applyFont="1" applyBorder="1" applyAlignment="1">
      <alignment horizontal="right"/>
    </xf>
    <xf numFmtId="187" fontId="4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187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37"/>
  <sheetViews>
    <sheetView tabSelected="1" workbookViewId="0" topLeftCell="A1">
      <selection activeCell="A3" sqref="A3"/>
    </sheetView>
  </sheetViews>
  <sheetFormatPr defaultColWidth="9.140625" defaultRowHeight="21.75"/>
  <cols>
    <col min="1" max="1" width="2.7109375" style="1" customWidth="1"/>
    <col min="2" max="2" width="22.00390625" style="1" customWidth="1"/>
    <col min="3" max="3" width="2.7109375" style="1" customWidth="1"/>
    <col min="4" max="4" width="11.7109375" style="1" customWidth="1"/>
    <col min="5" max="5" width="4.7109375" style="1" customWidth="1"/>
    <col min="6" max="6" width="12.7109375" style="1" customWidth="1"/>
    <col min="7" max="7" width="4.7109375" style="1" customWidth="1"/>
    <col min="8" max="8" width="13.7109375" style="1" customWidth="1"/>
    <col min="9" max="9" width="4.7109375" style="1" customWidth="1"/>
    <col min="10" max="10" width="12.7109375" style="1" customWidth="1"/>
    <col min="11" max="11" width="4.7109375" style="1" customWidth="1"/>
    <col min="12" max="12" width="11.7109375" style="1" customWidth="1"/>
    <col min="13" max="13" width="4.7109375" style="1" customWidth="1"/>
    <col min="14" max="14" width="11.7109375" style="1" customWidth="1"/>
    <col min="15" max="15" width="4.7109375" style="1" customWidth="1"/>
    <col min="16" max="16" width="2.7109375" style="1" customWidth="1"/>
    <col min="17" max="17" width="26.7109375" style="1" customWidth="1"/>
    <col min="18" max="104" width="12.7109375" style="22" customWidth="1"/>
    <col min="105" max="16384" width="12.7109375" style="1" customWidth="1"/>
  </cols>
  <sheetData>
    <row r="1" spans="1:104" s="3" customFormat="1" ht="22.5" customHeight="1">
      <c r="A1" s="3" t="s">
        <v>206</v>
      </c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</row>
    <row r="2" spans="1:104" s="26" customFormat="1" ht="21" customHeight="1">
      <c r="A2" s="26" t="s">
        <v>207</v>
      </c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</row>
    <row r="3" spans="17:104" s="3" customFormat="1" ht="18.75" customHeight="1">
      <c r="Q3" s="5" t="s">
        <v>184</v>
      </c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</row>
    <row r="4" spans="1:17" ht="24" customHeight="1">
      <c r="A4" s="47" t="s">
        <v>100</v>
      </c>
      <c r="B4" s="48"/>
      <c r="C4" s="17"/>
      <c r="D4" s="18" t="s">
        <v>0</v>
      </c>
      <c r="E4" s="18"/>
      <c r="F4" s="41" t="s">
        <v>197</v>
      </c>
      <c r="G4" s="18"/>
      <c r="H4" s="41" t="s">
        <v>194</v>
      </c>
      <c r="I4" s="19"/>
      <c r="J4" s="27" t="s">
        <v>192</v>
      </c>
      <c r="K4" s="18"/>
      <c r="L4" s="27" t="s">
        <v>185</v>
      </c>
      <c r="M4" s="18"/>
      <c r="N4" s="27" t="s">
        <v>187</v>
      </c>
      <c r="O4" s="18"/>
      <c r="P4" s="18"/>
      <c r="Q4" s="44" t="s">
        <v>101</v>
      </c>
    </row>
    <row r="5" spans="1:17" ht="23.25" customHeight="1">
      <c r="A5" s="49"/>
      <c r="B5" s="49"/>
      <c r="C5" s="20"/>
      <c r="D5" s="39" t="s">
        <v>201</v>
      </c>
      <c r="E5" s="22"/>
      <c r="F5" s="39" t="s">
        <v>198</v>
      </c>
      <c r="G5" s="22"/>
      <c r="H5" s="39" t="s">
        <v>195</v>
      </c>
      <c r="I5" s="21"/>
      <c r="J5" s="39" t="s">
        <v>190</v>
      </c>
      <c r="K5" s="22"/>
      <c r="L5" s="39" t="s">
        <v>186</v>
      </c>
      <c r="M5" s="22"/>
      <c r="N5" s="39" t="s">
        <v>188</v>
      </c>
      <c r="O5" s="22"/>
      <c r="P5" s="22"/>
      <c r="Q5" s="45"/>
    </row>
    <row r="6" spans="1:17" ht="16.5" customHeight="1">
      <c r="A6" s="49"/>
      <c r="B6" s="49"/>
      <c r="C6" s="20"/>
      <c r="D6" s="39" t="s">
        <v>202</v>
      </c>
      <c r="E6" s="22"/>
      <c r="F6" s="39" t="s">
        <v>199</v>
      </c>
      <c r="G6" s="22"/>
      <c r="H6" s="39" t="s">
        <v>196</v>
      </c>
      <c r="I6" s="21"/>
      <c r="J6" s="39" t="s">
        <v>191</v>
      </c>
      <c r="K6" s="22"/>
      <c r="L6" s="21" t="s">
        <v>0</v>
      </c>
      <c r="M6" s="22"/>
      <c r="N6" s="39" t="s">
        <v>189</v>
      </c>
      <c r="O6" s="22"/>
      <c r="P6" s="22"/>
      <c r="Q6" s="45"/>
    </row>
    <row r="7" spans="1:17" ht="16.5" customHeight="1">
      <c r="A7" s="50"/>
      <c r="B7" s="50"/>
      <c r="C7" s="23"/>
      <c r="D7" s="6" t="s">
        <v>0</v>
      </c>
      <c r="E7" s="6"/>
      <c r="F7" s="42" t="s">
        <v>200</v>
      </c>
      <c r="G7" s="6"/>
      <c r="H7" s="40" t="s">
        <v>203</v>
      </c>
      <c r="I7" s="24"/>
      <c r="J7" s="40" t="s">
        <v>193</v>
      </c>
      <c r="K7" s="6"/>
      <c r="L7" s="6" t="s">
        <v>0</v>
      </c>
      <c r="M7" s="6"/>
      <c r="N7" s="24" t="s">
        <v>0</v>
      </c>
      <c r="O7" s="6"/>
      <c r="P7" s="6"/>
      <c r="Q7" s="46"/>
    </row>
    <row r="8" spans="2:104" s="3" customFormat="1" ht="21" customHeight="1">
      <c r="B8" s="3" t="s">
        <v>103</v>
      </c>
      <c r="D8" s="14">
        <f>815319.75</f>
        <v>815319.75</v>
      </c>
      <c r="E8" s="15"/>
      <c r="F8" s="14">
        <v>585128.9</v>
      </c>
      <c r="G8" s="15"/>
      <c r="H8" s="14">
        <v>104074.97</v>
      </c>
      <c r="I8" s="15"/>
      <c r="J8" s="14">
        <v>42247.84</v>
      </c>
      <c r="K8" s="15"/>
      <c r="L8" s="14">
        <v>24995.44</v>
      </c>
      <c r="M8" s="15"/>
      <c r="N8" s="14">
        <v>58872.71</v>
      </c>
      <c r="O8" s="16"/>
      <c r="P8" s="16"/>
      <c r="Q8" s="3" t="s">
        <v>20</v>
      </c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</row>
    <row r="9" spans="2:17" ht="19.5" customHeight="1">
      <c r="B9" s="25" t="s">
        <v>104</v>
      </c>
      <c r="D9" s="12">
        <f>12064.11</f>
        <v>12064.11</v>
      </c>
      <c r="E9" s="4"/>
      <c r="F9" s="12">
        <v>8514.14</v>
      </c>
      <c r="G9" s="4"/>
      <c r="H9" s="12">
        <v>1852.38</v>
      </c>
      <c r="I9" s="4"/>
      <c r="J9" s="12">
        <v>1278.8</v>
      </c>
      <c r="K9" s="4"/>
      <c r="L9" s="12">
        <v>344</v>
      </c>
      <c r="M9" s="5"/>
      <c r="N9" s="12">
        <v>74.8</v>
      </c>
      <c r="Q9" s="1" t="s">
        <v>21</v>
      </c>
    </row>
    <row r="10" spans="2:17" ht="19.5" customHeight="1">
      <c r="B10" s="25" t="s">
        <v>105</v>
      </c>
      <c r="D10" s="12">
        <v>10250.45</v>
      </c>
      <c r="E10" s="4"/>
      <c r="F10" s="12">
        <v>8990.77</v>
      </c>
      <c r="G10" s="4"/>
      <c r="H10" s="12">
        <v>49.4</v>
      </c>
      <c r="I10" s="5"/>
      <c r="J10" s="12">
        <v>1198.22</v>
      </c>
      <c r="K10" s="4"/>
      <c r="L10" s="12">
        <v>12.06</v>
      </c>
      <c r="M10" s="5"/>
      <c r="N10" s="12" t="s">
        <v>22</v>
      </c>
      <c r="Q10" s="1" t="s">
        <v>23</v>
      </c>
    </row>
    <row r="11" spans="2:17" ht="19.5" customHeight="1">
      <c r="B11" s="25" t="s">
        <v>106</v>
      </c>
      <c r="D11" s="12">
        <v>683</v>
      </c>
      <c r="E11" s="5"/>
      <c r="F11" s="12">
        <v>438.71</v>
      </c>
      <c r="G11" s="5"/>
      <c r="H11" s="12">
        <v>219.81</v>
      </c>
      <c r="I11" s="5"/>
      <c r="J11" s="12">
        <v>14.14</v>
      </c>
      <c r="K11" s="5"/>
      <c r="L11" s="12" t="s">
        <v>22</v>
      </c>
      <c r="M11" s="5"/>
      <c r="N11" s="12">
        <v>10.42</v>
      </c>
      <c r="Q11" s="1" t="s">
        <v>24</v>
      </c>
    </row>
    <row r="12" spans="2:17" ht="19.5" customHeight="1">
      <c r="B12" s="25" t="s">
        <v>107</v>
      </c>
      <c r="D12" s="12">
        <v>58864.1</v>
      </c>
      <c r="E12" s="4"/>
      <c r="F12" s="12">
        <v>51425.42</v>
      </c>
      <c r="G12" s="4"/>
      <c r="H12" s="12">
        <v>3025.8</v>
      </c>
      <c r="I12" s="4"/>
      <c r="J12" s="12">
        <v>3541.59</v>
      </c>
      <c r="K12" s="4"/>
      <c r="L12" s="12">
        <v>871.29</v>
      </c>
      <c r="M12" s="5"/>
      <c r="N12" s="12" t="s">
        <v>22</v>
      </c>
      <c r="Q12" s="1" t="s">
        <v>25</v>
      </c>
    </row>
    <row r="13" spans="2:17" ht="19.5" customHeight="1">
      <c r="B13" s="25" t="s">
        <v>108</v>
      </c>
      <c r="D13" s="12">
        <v>5819.22</v>
      </c>
      <c r="E13" s="4"/>
      <c r="F13" s="12">
        <v>4796.41</v>
      </c>
      <c r="G13" s="4"/>
      <c r="H13" s="12">
        <v>286</v>
      </c>
      <c r="I13" s="5"/>
      <c r="J13" s="12">
        <v>278.41</v>
      </c>
      <c r="K13" s="5"/>
      <c r="L13" s="12">
        <v>458.4</v>
      </c>
      <c r="M13" s="5"/>
      <c r="N13" s="12" t="s">
        <v>22</v>
      </c>
      <c r="Q13" s="1" t="s">
        <v>26</v>
      </c>
    </row>
    <row r="14" spans="2:17" ht="19.5" customHeight="1">
      <c r="B14" s="25" t="s">
        <v>109</v>
      </c>
      <c r="D14" s="12">
        <v>14970.3</v>
      </c>
      <c r="E14" s="4"/>
      <c r="F14" s="12">
        <v>8440.07</v>
      </c>
      <c r="G14" s="4"/>
      <c r="H14" s="12">
        <v>1676</v>
      </c>
      <c r="I14" s="4"/>
      <c r="J14" s="12">
        <v>673.54</v>
      </c>
      <c r="K14" s="5"/>
      <c r="L14" s="12">
        <v>3847.2</v>
      </c>
      <c r="M14" s="4"/>
      <c r="N14" s="12">
        <v>333.49</v>
      </c>
      <c r="Q14" s="1" t="s">
        <v>27</v>
      </c>
    </row>
    <row r="15" spans="2:17" ht="19.5" customHeight="1">
      <c r="B15" s="25" t="s">
        <v>110</v>
      </c>
      <c r="D15" s="12">
        <v>1616</v>
      </c>
      <c r="E15" s="4"/>
      <c r="F15" s="12">
        <v>1590</v>
      </c>
      <c r="G15" s="4"/>
      <c r="H15" s="12">
        <v>10</v>
      </c>
      <c r="I15" s="5"/>
      <c r="J15" s="12">
        <v>16</v>
      </c>
      <c r="K15" s="5"/>
      <c r="L15" s="12" t="s">
        <v>22</v>
      </c>
      <c r="M15" s="5"/>
      <c r="N15" s="12" t="s">
        <v>22</v>
      </c>
      <c r="Q15" s="1" t="s">
        <v>28</v>
      </c>
    </row>
    <row r="16" spans="2:17" ht="19.5" customHeight="1">
      <c r="B16" s="25" t="s">
        <v>111</v>
      </c>
      <c r="D16" s="12">
        <v>3660.1</v>
      </c>
      <c r="E16" s="4"/>
      <c r="F16" s="12">
        <v>3360</v>
      </c>
      <c r="G16" s="4"/>
      <c r="H16" s="12">
        <v>226.3</v>
      </c>
      <c r="I16" s="5"/>
      <c r="J16" s="12">
        <v>73.8</v>
      </c>
      <c r="K16" s="5"/>
      <c r="L16" s="12" t="s">
        <v>22</v>
      </c>
      <c r="M16" s="5"/>
      <c r="N16" s="12" t="s">
        <v>22</v>
      </c>
      <c r="Q16" s="1" t="s">
        <v>29</v>
      </c>
    </row>
    <row r="17" spans="2:17" ht="19.5" customHeight="1">
      <c r="B17" s="25" t="s">
        <v>112</v>
      </c>
      <c r="D17" s="12">
        <v>5230.21</v>
      </c>
      <c r="E17" s="4"/>
      <c r="F17" s="12">
        <v>3868.61</v>
      </c>
      <c r="G17" s="4"/>
      <c r="H17" s="12">
        <v>793.8</v>
      </c>
      <c r="I17" s="5"/>
      <c r="J17" s="12">
        <v>167.75</v>
      </c>
      <c r="K17" s="5"/>
      <c r="L17" s="12">
        <v>300</v>
      </c>
      <c r="M17" s="5"/>
      <c r="N17" s="12">
        <v>100</v>
      </c>
      <c r="Q17" s="1" t="s">
        <v>30</v>
      </c>
    </row>
    <row r="18" spans="2:17" ht="19.5" customHeight="1">
      <c r="B18" s="25" t="s">
        <v>113</v>
      </c>
      <c r="D18" s="12">
        <v>281254.79</v>
      </c>
      <c r="E18" s="4"/>
      <c r="F18" s="12">
        <v>180005.4</v>
      </c>
      <c r="G18" s="4"/>
      <c r="H18" s="12">
        <v>38165.48</v>
      </c>
      <c r="I18" s="4"/>
      <c r="J18" s="12">
        <v>11987.46</v>
      </c>
      <c r="K18" s="4"/>
      <c r="L18" s="12">
        <v>7020.95</v>
      </c>
      <c r="M18" s="4"/>
      <c r="N18" s="12">
        <v>44075.41</v>
      </c>
      <c r="O18" s="2"/>
      <c r="P18" s="2"/>
      <c r="Q18" s="1" t="s">
        <v>31</v>
      </c>
    </row>
    <row r="19" spans="2:17" ht="19.5" customHeight="1">
      <c r="B19" s="25" t="s">
        <v>114</v>
      </c>
      <c r="D19" s="12">
        <v>23585.68</v>
      </c>
      <c r="E19" s="4"/>
      <c r="F19" s="12">
        <v>22853.47</v>
      </c>
      <c r="G19" s="4"/>
      <c r="H19" s="12">
        <v>183.96</v>
      </c>
      <c r="I19" s="5"/>
      <c r="J19" s="12">
        <v>65.37</v>
      </c>
      <c r="K19" s="5"/>
      <c r="L19" s="12">
        <v>482.2</v>
      </c>
      <c r="M19" s="5"/>
      <c r="N19" s="12">
        <v>0.6</v>
      </c>
      <c r="Q19" s="1" t="s">
        <v>32</v>
      </c>
    </row>
    <row r="20" spans="2:17" ht="19.5" customHeight="1">
      <c r="B20" s="25" t="s">
        <v>115</v>
      </c>
      <c r="D20" s="12">
        <v>25722.2</v>
      </c>
      <c r="E20" s="4"/>
      <c r="F20" s="12">
        <v>23081.8</v>
      </c>
      <c r="G20" s="4"/>
      <c r="H20" s="12">
        <v>1350.77</v>
      </c>
      <c r="I20" s="4"/>
      <c r="J20" s="12">
        <v>529.68</v>
      </c>
      <c r="K20" s="5"/>
      <c r="L20" s="12">
        <v>620.11</v>
      </c>
      <c r="M20" s="5"/>
      <c r="N20" s="12">
        <v>139.78</v>
      </c>
      <c r="Q20" s="1" t="s">
        <v>33</v>
      </c>
    </row>
    <row r="21" spans="2:17" ht="19.5" customHeight="1">
      <c r="B21" s="25" t="s">
        <v>116</v>
      </c>
      <c r="D21" s="12">
        <v>1475.89</v>
      </c>
      <c r="E21" s="4"/>
      <c r="F21" s="12">
        <v>710.71</v>
      </c>
      <c r="G21" s="5"/>
      <c r="H21" s="12">
        <v>635.18</v>
      </c>
      <c r="I21" s="5"/>
      <c r="J21" s="12">
        <v>106</v>
      </c>
      <c r="K21" s="5"/>
      <c r="L21" s="12">
        <v>24</v>
      </c>
      <c r="M21" s="5"/>
      <c r="N21" s="12" t="s">
        <v>22</v>
      </c>
      <c r="Q21" s="1" t="s">
        <v>34</v>
      </c>
    </row>
    <row r="22" spans="2:17" ht="19.5" customHeight="1">
      <c r="B22" s="25" t="s">
        <v>117</v>
      </c>
      <c r="D22" s="12">
        <v>6713.59</v>
      </c>
      <c r="E22" s="4"/>
      <c r="F22" s="12">
        <v>5766.36</v>
      </c>
      <c r="G22" s="4"/>
      <c r="H22" s="12">
        <v>656.39</v>
      </c>
      <c r="I22" s="5"/>
      <c r="J22" s="12">
        <v>10.35</v>
      </c>
      <c r="K22" s="5"/>
      <c r="L22" s="12">
        <v>280.4</v>
      </c>
      <c r="M22" s="5"/>
      <c r="N22" s="12" t="s">
        <v>22</v>
      </c>
      <c r="Q22" s="1" t="s">
        <v>35</v>
      </c>
    </row>
    <row r="23" spans="2:17" ht="19.5" customHeight="1">
      <c r="B23" s="25" t="s">
        <v>118</v>
      </c>
      <c r="D23" s="12">
        <v>21451.76</v>
      </c>
      <c r="E23" s="4"/>
      <c r="F23" s="12">
        <v>18228.11</v>
      </c>
      <c r="G23" s="4"/>
      <c r="H23" s="12">
        <v>1447.45</v>
      </c>
      <c r="I23" s="4"/>
      <c r="J23" s="12">
        <v>424.2</v>
      </c>
      <c r="K23" s="5"/>
      <c r="L23" s="12">
        <v>1352</v>
      </c>
      <c r="M23" s="4"/>
      <c r="N23" s="12" t="s">
        <v>22</v>
      </c>
      <c r="Q23" s="1" t="s">
        <v>36</v>
      </c>
    </row>
    <row r="24" spans="2:17" ht="19.5" customHeight="1">
      <c r="B24" s="25" t="s">
        <v>119</v>
      </c>
      <c r="D24" s="12">
        <v>3016.86</v>
      </c>
      <c r="E24" s="4"/>
      <c r="F24" s="12">
        <v>2493.97</v>
      </c>
      <c r="G24" s="4"/>
      <c r="H24" s="12">
        <v>96.5</v>
      </c>
      <c r="I24" s="5"/>
      <c r="J24" s="12">
        <v>194.79</v>
      </c>
      <c r="K24" s="5"/>
      <c r="L24" s="12">
        <v>99.08</v>
      </c>
      <c r="M24" s="5"/>
      <c r="N24" s="12">
        <v>132.52</v>
      </c>
      <c r="Q24" s="1" t="s">
        <v>37</v>
      </c>
    </row>
    <row r="25" spans="2:17" ht="19.5" customHeight="1">
      <c r="B25" s="25" t="s">
        <v>120</v>
      </c>
      <c r="D25" s="12">
        <v>3576.74</v>
      </c>
      <c r="E25" s="4"/>
      <c r="F25" s="12">
        <v>2306.08</v>
      </c>
      <c r="G25" s="4"/>
      <c r="H25" s="12">
        <v>16.5</v>
      </c>
      <c r="I25" s="5"/>
      <c r="J25" s="12">
        <v>245.63</v>
      </c>
      <c r="K25" s="5"/>
      <c r="L25" s="12">
        <v>432.36</v>
      </c>
      <c r="M25" s="5"/>
      <c r="N25" s="12">
        <v>576.1</v>
      </c>
      <c r="Q25" s="1" t="s">
        <v>38</v>
      </c>
    </row>
    <row r="26" spans="2:17" ht="19.5" customHeight="1">
      <c r="B26" s="25" t="s">
        <v>121</v>
      </c>
      <c r="D26" s="12">
        <v>14795.6</v>
      </c>
      <c r="E26" s="4"/>
      <c r="F26" s="12">
        <v>12008.77</v>
      </c>
      <c r="G26" s="4"/>
      <c r="H26" s="12">
        <v>1129.73</v>
      </c>
      <c r="I26" s="4"/>
      <c r="J26" s="12">
        <v>752.53</v>
      </c>
      <c r="K26" s="5"/>
      <c r="L26" s="12">
        <v>544.35</v>
      </c>
      <c r="M26" s="5"/>
      <c r="N26" s="12">
        <v>360.22</v>
      </c>
      <c r="Q26" s="1" t="s">
        <v>39</v>
      </c>
    </row>
    <row r="27" spans="2:17" ht="19.5" customHeight="1">
      <c r="B27" s="25" t="s">
        <v>122</v>
      </c>
      <c r="D27" s="12">
        <v>17449.64</v>
      </c>
      <c r="E27" s="4"/>
      <c r="F27" s="12">
        <v>12968.26</v>
      </c>
      <c r="G27" s="4"/>
      <c r="H27" s="12">
        <v>3248.36</v>
      </c>
      <c r="I27" s="4"/>
      <c r="J27" s="12">
        <v>251.63</v>
      </c>
      <c r="K27" s="5"/>
      <c r="L27" s="12">
        <v>981.3</v>
      </c>
      <c r="M27" s="5"/>
      <c r="N27" s="12" t="s">
        <v>22</v>
      </c>
      <c r="Q27" s="1" t="s">
        <v>40</v>
      </c>
    </row>
    <row r="28" spans="2:17" ht="19.5" customHeight="1">
      <c r="B28" s="25" t="s">
        <v>123</v>
      </c>
      <c r="D28" s="12">
        <v>9635.24</v>
      </c>
      <c r="E28" s="4"/>
      <c r="F28" s="12">
        <v>4390.09</v>
      </c>
      <c r="G28" s="4"/>
      <c r="H28" s="12">
        <v>2094.61</v>
      </c>
      <c r="I28" s="4"/>
      <c r="J28" s="12">
        <v>136.62</v>
      </c>
      <c r="K28" s="5"/>
      <c r="L28" s="12">
        <v>38</v>
      </c>
      <c r="M28" s="5"/>
      <c r="N28" s="12">
        <v>2975.92</v>
      </c>
      <c r="O28" s="2"/>
      <c r="P28" s="2"/>
      <c r="Q28" s="1" t="s">
        <v>41</v>
      </c>
    </row>
    <row r="29" spans="2:17" ht="19.5" customHeight="1">
      <c r="B29" s="25" t="s">
        <v>124</v>
      </c>
      <c r="D29" s="12">
        <v>28740.05</v>
      </c>
      <c r="E29" s="4"/>
      <c r="F29" s="12">
        <v>13597.56</v>
      </c>
      <c r="G29" s="4"/>
      <c r="H29" s="12">
        <v>3343.39</v>
      </c>
      <c r="I29" s="4"/>
      <c r="J29" s="12">
        <v>10296.93</v>
      </c>
      <c r="K29" s="4"/>
      <c r="L29" s="12">
        <v>862.05</v>
      </c>
      <c r="M29" s="5"/>
      <c r="N29" s="12">
        <v>640.12</v>
      </c>
      <c r="Q29" s="1" t="s">
        <v>42</v>
      </c>
    </row>
    <row r="30" spans="2:17" ht="19.5" customHeight="1">
      <c r="B30" s="25" t="s">
        <v>125</v>
      </c>
      <c r="D30" s="12">
        <v>1669.23</v>
      </c>
      <c r="E30" s="4"/>
      <c r="F30" s="12">
        <v>1123.69</v>
      </c>
      <c r="G30" s="4"/>
      <c r="H30" s="12">
        <v>27</v>
      </c>
      <c r="I30" s="5"/>
      <c r="J30" s="12">
        <v>19.54</v>
      </c>
      <c r="K30" s="5"/>
      <c r="L30" s="12">
        <v>499</v>
      </c>
      <c r="M30" s="5"/>
      <c r="N30" s="12" t="s">
        <v>22</v>
      </c>
      <c r="Q30" s="1" t="s">
        <v>43</v>
      </c>
    </row>
    <row r="31" spans="2:17" ht="19.5" customHeight="1">
      <c r="B31" s="25" t="s">
        <v>126</v>
      </c>
      <c r="D31" s="12">
        <v>999.95</v>
      </c>
      <c r="E31" s="5"/>
      <c r="F31" s="12">
        <v>958</v>
      </c>
      <c r="G31" s="5"/>
      <c r="H31" s="12" t="s">
        <v>22</v>
      </c>
      <c r="I31" s="5"/>
      <c r="J31" s="12">
        <v>36.2</v>
      </c>
      <c r="K31" s="5"/>
      <c r="L31" s="12">
        <v>5</v>
      </c>
      <c r="M31" s="5"/>
      <c r="N31" s="12">
        <v>0.75</v>
      </c>
      <c r="Q31" s="1" t="s">
        <v>44</v>
      </c>
    </row>
    <row r="32" spans="2:17" ht="19.5" customHeight="1">
      <c r="B32" s="25" t="s">
        <v>127</v>
      </c>
      <c r="D32" s="12">
        <v>156335.65</v>
      </c>
      <c r="E32" s="4"/>
      <c r="F32" s="12">
        <v>118617.05</v>
      </c>
      <c r="G32" s="4"/>
      <c r="H32" s="12">
        <v>18917.11</v>
      </c>
      <c r="I32" s="4"/>
      <c r="J32" s="12">
        <v>8761.29</v>
      </c>
      <c r="K32" s="4"/>
      <c r="L32" s="12">
        <v>3151.5</v>
      </c>
      <c r="M32" s="4"/>
      <c r="N32" s="12">
        <v>6888.7</v>
      </c>
      <c r="O32" s="2"/>
      <c r="P32" s="2"/>
      <c r="Q32" s="1" t="s">
        <v>45</v>
      </c>
    </row>
    <row r="33" spans="2:17" ht="19.5" customHeight="1">
      <c r="B33" s="25" t="s">
        <v>128</v>
      </c>
      <c r="D33" s="12">
        <v>105739.3</v>
      </c>
      <c r="E33" s="4"/>
      <c r="F33" s="12">
        <v>74595.2</v>
      </c>
      <c r="G33" s="4"/>
      <c r="H33" s="12">
        <v>24622.94</v>
      </c>
      <c r="I33" s="4"/>
      <c r="J33" s="12">
        <v>1187.38</v>
      </c>
      <c r="K33" s="4"/>
      <c r="L33" s="12">
        <v>2769.9</v>
      </c>
      <c r="M33" s="4"/>
      <c r="N33" s="12">
        <v>2563.88</v>
      </c>
      <c r="O33" s="2"/>
      <c r="P33" s="2"/>
      <c r="Q33" s="1" t="s">
        <v>46</v>
      </c>
    </row>
    <row r="34" spans="1:104" s="31" customFormat="1" ht="4.5" customHeight="1">
      <c r="A34" s="28"/>
      <c r="B34" s="28"/>
      <c r="C34" s="28"/>
      <c r="D34" s="2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3"/>
      <c r="AL34" s="33"/>
      <c r="AM34" s="33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</row>
    <row r="35" spans="2:104" s="31" customFormat="1" ht="4.5" customHeight="1">
      <c r="B35" s="30"/>
      <c r="C35" s="30"/>
      <c r="D35" s="30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3"/>
      <c r="AL35" s="33"/>
      <c r="AM35" s="33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</row>
    <row r="36" spans="1:104" s="36" customFormat="1" ht="21" customHeight="1">
      <c r="A36" s="43"/>
      <c r="B36" s="1" t="s">
        <v>204</v>
      </c>
      <c r="G36" s="37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</row>
    <row r="37" spans="1:104" s="36" customFormat="1" ht="21" customHeight="1">
      <c r="A37"/>
      <c r="B37" s="1" t="s">
        <v>205</v>
      </c>
      <c r="G37" s="37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</row>
  </sheetData>
  <mergeCells count="2">
    <mergeCell ref="Q4:Q7"/>
    <mergeCell ref="A4:B7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5"/>
  <sheetViews>
    <sheetView workbookViewId="0" topLeftCell="A1">
      <selection activeCell="E13" sqref="E13"/>
    </sheetView>
  </sheetViews>
  <sheetFormatPr defaultColWidth="9.140625" defaultRowHeight="21.75"/>
  <cols>
    <col min="1" max="1" width="25.7109375" style="1" customWidth="1"/>
    <col min="2" max="2" width="2.7109375" style="1" customWidth="1"/>
    <col min="3" max="3" width="13.7109375" style="1" customWidth="1"/>
    <col min="4" max="4" width="2.7109375" style="1" customWidth="1"/>
    <col min="5" max="5" width="13.7109375" style="1" customWidth="1"/>
    <col min="6" max="6" width="2.7109375" style="1" customWidth="1"/>
    <col min="7" max="7" width="13.7109375" style="1" customWidth="1"/>
    <col min="8" max="8" width="2.7109375" style="1" customWidth="1"/>
    <col min="9" max="9" width="13.7109375" style="1" customWidth="1"/>
    <col min="10" max="10" width="2.7109375" style="1" customWidth="1"/>
    <col min="11" max="11" width="13.7109375" style="1" customWidth="1"/>
    <col min="12" max="12" width="2.7109375" style="1" customWidth="1"/>
    <col min="13" max="13" width="13.7109375" style="1" customWidth="1"/>
    <col min="14" max="15" width="2.7109375" style="1" customWidth="1"/>
    <col min="16" max="16" width="25.7109375" style="1" customWidth="1"/>
    <col min="17" max="16384" width="12.7109375" style="1" customWidth="1"/>
  </cols>
  <sheetData>
    <row r="1" s="3" customFormat="1" ht="18" customHeight="1">
      <c r="A1" s="3" t="s">
        <v>182</v>
      </c>
    </row>
    <row r="2" s="3" customFormat="1" ht="18" customHeight="1">
      <c r="A2" s="3" t="s">
        <v>102</v>
      </c>
    </row>
    <row r="3" ht="18.75" customHeight="1">
      <c r="P3" s="5" t="s">
        <v>183</v>
      </c>
    </row>
    <row r="4" spans="1:16" ht="18" customHeight="1">
      <c r="A4" s="44" t="s">
        <v>100</v>
      </c>
      <c r="B4" s="17"/>
      <c r="C4" s="18" t="s">
        <v>0</v>
      </c>
      <c r="D4" s="18"/>
      <c r="E4" s="19" t="s">
        <v>1</v>
      </c>
      <c r="F4" s="18"/>
      <c r="G4" s="19" t="s">
        <v>2</v>
      </c>
      <c r="H4" s="19"/>
      <c r="I4" s="19" t="s">
        <v>3</v>
      </c>
      <c r="J4" s="18"/>
      <c r="K4" s="19" t="s">
        <v>4</v>
      </c>
      <c r="L4" s="18"/>
      <c r="M4" s="19" t="s">
        <v>5</v>
      </c>
      <c r="N4" s="18"/>
      <c r="O4" s="18"/>
      <c r="P4" s="44" t="s">
        <v>101</v>
      </c>
    </row>
    <row r="5" spans="1:16" ht="18" customHeight="1">
      <c r="A5" s="45"/>
      <c r="B5" s="20"/>
      <c r="C5" s="21" t="s">
        <v>6</v>
      </c>
      <c r="D5" s="22"/>
      <c r="E5" s="21" t="s">
        <v>7</v>
      </c>
      <c r="F5" s="22"/>
      <c r="G5" s="21" t="s">
        <v>8</v>
      </c>
      <c r="H5" s="21"/>
      <c r="I5" s="21" t="s">
        <v>9</v>
      </c>
      <c r="J5" s="22"/>
      <c r="K5" s="21" t="s">
        <v>10</v>
      </c>
      <c r="L5" s="22"/>
      <c r="M5" s="21" t="s">
        <v>11</v>
      </c>
      <c r="N5" s="22"/>
      <c r="O5" s="22"/>
      <c r="P5" s="45"/>
    </row>
    <row r="6" spans="1:16" ht="18" customHeight="1">
      <c r="A6" s="45"/>
      <c r="B6" s="20"/>
      <c r="C6" s="21" t="s">
        <v>12</v>
      </c>
      <c r="D6" s="22"/>
      <c r="E6" s="21" t="s">
        <v>13</v>
      </c>
      <c r="F6" s="22"/>
      <c r="G6" s="21" t="s">
        <v>14</v>
      </c>
      <c r="H6" s="21"/>
      <c r="I6" s="21" t="s">
        <v>15</v>
      </c>
      <c r="J6" s="22"/>
      <c r="K6" s="21" t="s">
        <v>0</v>
      </c>
      <c r="L6" s="22"/>
      <c r="M6" s="21" t="s">
        <v>16</v>
      </c>
      <c r="N6" s="22"/>
      <c r="O6" s="22"/>
      <c r="P6" s="45"/>
    </row>
    <row r="7" spans="1:16" ht="18" customHeight="1">
      <c r="A7" s="46"/>
      <c r="B7" s="23"/>
      <c r="C7" s="6" t="s">
        <v>0</v>
      </c>
      <c r="D7" s="6"/>
      <c r="E7" s="24" t="s">
        <v>17</v>
      </c>
      <c r="F7" s="6"/>
      <c r="G7" s="24" t="s">
        <v>18</v>
      </c>
      <c r="H7" s="24"/>
      <c r="I7" s="24" t="s">
        <v>19</v>
      </c>
      <c r="J7" s="6"/>
      <c r="K7" s="6" t="s">
        <v>0</v>
      </c>
      <c r="L7" s="6"/>
      <c r="M7" s="24" t="s">
        <v>0</v>
      </c>
      <c r="N7" s="6"/>
      <c r="O7" s="6"/>
      <c r="P7" s="46"/>
    </row>
    <row r="8" spans="1:16" s="3" customFormat="1" ht="18" customHeight="1">
      <c r="A8" s="10" t="s">
        <v>103</v>
      </c>
      <c r="C8" s="14">
        <f>815319.75/1000</f>
        <v>815.31975</v>
      </c>
      <c r="D8" s="15"/>
      <c r="E8" s="14">
        <f>585128.8/1000</f>
        <v>585.1288000000001</v>
      </c>
      <c r="F8" s="15"/>
      <c r="G8" s="14">
        <f>104074.97/1000</f>
        <v>104.07497000000001</v>
      </c>
      <c r="H8" s="15"/>
      <c r="I8" s="14">
        <f>42247.84/1000</f>
        <v>42.24784</v>
      </c>
      <c r="J8" s="15"/>
      <c r="K8" s="14">
        <f>24995.44/1000</f>
        <v>24.99544</v>
      </c>
      <c r="L8" s="15"/>
      <c r="M8" s="14">
        <f>58872.71/1000</f>
        <v>58.87271</v>
      </c>
      <c r="N8" s="16"/>
      <c r="O8" s="16"/>
      <c r="P8" s="3" t="s">
        <v>20</v>
      </c>
    </row>
    <row r="9" spans="1:16" ht="18" customHeight="1">
      <c r="A9" s="11" t="s">
        <v>104</v>
      </c>
      <c r="C9" s="12">
        <f>12064.11/1000</f>
        <v>12.064110000000001</v>
      </c>
      <c r="D9" s="4"/>
      <c r="E9" s="12">
        <f>8514.14/1000</f>
        <v>8.51414</v>
      </c>
      <c r="F9" s="4"/>
      <c r="G9" s="12">
        <f>1852.38/1000</f>
        <v>1.8523800000000001</v>
      </c>
      <c r="H9" s="4"/>
      <c r="I9" s="12">
        <f>1278.8/1000</f>
        <v>1.2788</v>
      </c>
      <c r="J9" s="4"/>
      <c r="K9" s="12">
        <f>344/1000</f>
        <v>0.344</v>
      </c>
      <c r="L9" s="5"/>
      <c r="M9" s="12">
        <f>74.8/1000</f>
        <v>0.07479999999999999</v>
      </c>
      <c r="P9" s="1" t="s">
        <v>21</v>
      </c>
    </row>
    <row r="10" spans="1:16" ht="18" customHeight="1">
      <c r="A10" s="11" t="s">
        <v>105</v>
      </c>
      <c r="C10" s="12">
        <f>10250.45/1000</f>
        <v>10.25045</v>
      </c>
      <c r="D10" s="4"/>
      <c r="E10" s="12">
        <f>8990.77/1000</f>
        <v>8.990770000000001</v>
      </c>
      <c r="F10" s="4"/>
      <c r="G10" s="12">
        <f>49.4/1000</f>
        <v>0.0494</v>
      </c>
      <c r="H10" s="5"/>
      <c r="I10" s="12">
        <f>1198.22/1000</f>
        <v>1.19822</v>
      </c>
      <c r="J10" s="4"/>
      <c r="K10" s="12">
        <f>12.06/1000</f>
        <v>0.012060000000000001</v>
      </c>
      <c r="L10" s="5"/>
      <c r="M10" s="12" t="s">
        <v>22</v>
      </c>
      <c r="P10" s="1" t="s">
        <v>23</v>
      </c>
    </row>
    <row r="11" spans="1:16" ht="18" customHeight="1">
      <c r="A11" s="11" t="s">
        <v>106</v>
      </c>
      <c r="C11" s="12">
        <f>683.08/1000</f>
        <v>0.68308</v>
      </c>
      <c r="D11" s="5"/>
      <c r="E11" s="12">
        <f>438.71/1000</f>
        <v>0.43871</v>
      </c>
      <c r="F11" s="5"/>
      <c r="G11" s="12">
        <f>219.81/1000</f>
        <v>0.21981</v>
      </c>
      <c r="H11" s="5"/>
      <c r="I11" s="12">
        <f>14.14/1000</f>
        <v>0.01414</v>
      </c>
      <c r="J11" s="5"/>
      <c r="K11" s="12" t="s">
        <v>22</v>
      </c>
      <c r="L11" s="5"/>
      <c r="M11" s="12">
        <f>10.42/1000</f>
        <v>0.01042</v>
      </c>
      <c r="P11" s="1" t="s">
        <v>24</v>
      </c>
    </row>
    <row r="12" spans="1:16" ht="18" customHeight="1">
      <c r="A12" s="11" t="s">
        <v>107</v>
      </c>
      <c r="C12" s="12">
        <f>58864.1/1000</f>
        <v>58.8641</v>
      </c>
      <c r="D12" s="4"/>
      <c r="E12" s="12">
        <f>51425.42/1000</f>
        <v>51.425419999999995</v>
      </c>
      <c r="F12" s="4"/>
      <c r="G12" s="12">
        <f>3025.8/1000</f>
        <v>3.0258000000000003</v>
      </c>
      <c r="H12" s="4"/>
      <c r="I12" s="12">
        <f>3541.59/1000</f>
        <v>3.5415900000000002</v>
      </c>
      <c r="J12" s="4"/>
      <c r="K12" s="12">
        <f>871.29/1000</f>
        <v>0.87129</v>
      </c>
      <c r="L12" s="5"/>
      <c r="M12" s="12" t="s">
        <v>22</v>
      </c>
      <c r="P12" s="1" t="s">
        <v>25</v>
      </c>
    </row>
    <row r="13" spans="1:16" ht="18" customHeight="1">
      <c r="A13" s="11" t="s">
        <v>108</v>
      </c>
      <c r="C13" s="12">
        <f>5819.22/1000</f>
        <v>5.8192200000000005</v>
      </c>
      <c r="D13" s="4"/>
      <c r="E13" s="12">
        <f>4796.41/1000</f>
        <v>4.79641</v>
      </c>
      <c r="F13" s="4"/>
      <c r="G13" s="12">
        <f>286/1000</f>
        <v>0.286</v>
      </c>
      <c r="H13" s="5"/>
      <c r="I13" s="12">
        <f>278.41/1000</f>
        <v>0.27841000000000005</v>
      </c>
      <c r="J13" s="5"/>
      <c r="K13" s="12">
        <f>458.4/1000</f>
        <v>0.4584</v>
      </c>
      <c r="L13" s="5"/>
      <c r="M13" s="12" t="s">
        <v>22</v>
      </c>
      <c r="P13" s="1" t="s">
        <v>26</v>
      </c>
    </row>
    <row r="14" spans="1:16" ht="18" customHeight="1">
      <c r="A14" s="11" t="s">
        <v>109</v>
      </c>
      <c r="C14" s="12">
        <f>14970.3/1000</f>
        <v>14.9703</v>
      </c>
      <c r="D14" s="4"/>
      <c r="E14" s="12">
        <f>8440.07/1000</f>
        <v>8.44007</v>
      </c>
      <c r="F14" s="4"/>
      <c r="G14" s="12">
        <f>1676/1000</f>
        <v>1.676</v>
      </c>
      <c r="H14" s="4"/>
      <c r="I14" s="12">
        <f>673.54/1000</f>
        <v>0.6735399999999999</v>
      </c>
      <c r="J14" s="5"/>
      <c r="K14" s="12">
        <f>3847.2/1000</f>
        <v>3.8472</v>
      </c>
      <c r="L14" s="4"/>
      <c r="M14" s="12">
        <f>333.49/1000</f>
        <v>0.33349</v>
      </c>
      <c r="P14" s="1" t="s">
        <v>27</v>
      </c>
    </row>
    <row r="15" spans="1:16" ht="18" customHeight="1">
      <c r="A15" s="11" t="s">
        <v>110</v>
      </c>
      <c r="C15" s="12">
        <f>1616/1000</f>
        <v>1.616</v>
      </c>
      <c r="D15" s="4"/>
      <c r="E15" s="12">
        <f>1590/1000</f>
        <v>1.59</v>
      </c>
      <c r="F15" s="4"/>
      <c r="G15" s="12">
        <v>10</v>
      </c>
      <c r="H15" s="5"/>
      <c r="I15" s="12">
        <f>16/1000</f>
        <v>0.016</v>
      </c>
      <c r="J15" s="5"/>
      <c r="K15" s="12" t="s">
        <v>22</v>
      </c>
      <c r="L15" s="5"/>
      <c r="M15" s="12" t="s">
        <v>22</v>
      </c>
      <c r="P15" s="1" t="s">
        <v>28</v>
      </c>
    </row>
    <row r="16" spans="1:16" ht="18" customHeight="1">
      <c r="A16" s="11" t="s">
        <v>111</v>
      </c>
      <c r="C16" s="12">
        <f>3660.1/1000</f>
        <v>3.6601</v>
      </c>
      <c r="D16" s="4"/>
      <c r="E16" s="12">
        <v>3360</v>
      </c>
      <c r="F16" s="4"/>
      <c r="G16" s="12">
        <f>226.3/1000</f>
        <v>0.2263</v>
      </c>
      <c r="H16" s="5"/>
      <c r="I16" s="12">
        <f>73.8/1000</f>
        <v>0.07379999999999999</v>
      </c>
      <c r="J16" s="5"/>
      <c r="K16" s="12" t="s">
        <v>22</v>
      </c>
      <c r="L16" s="5"/>
      <c r="M16" s="12" t="s">
        <v>22</v>
      </c>
      <c r="P16" s="1" t="s">
        <v>29</v>
      </c>
    </row>
    <row r="17" spans="1:16" ht="18" customHeight="1">
      <c r="A17" s="11" t="s">
        <v>112</v>
      </c>
      <c r="C17" s="12">
        <f>5230.21/1000</f>
        <v>5.2302100000000005</v>
      </c>
      <c r="D17" s="4"/>
      <c r="E17" s="12">
        <f>3868.61/1000</f>
        <v>3.8686100000000003</v>
      </c>
      <c r="F17" s="4"/>
      <c r="G17" s="12">
        <f>793.85/1000</f>
        <v>0.7938500000000001</v>
      </c>
      <c r="H17" s="5"/>
      <c r="I17" s="12">
        <f>167.75/1000</f>
        <v>0.16775</v>
      </c>
      <c r="J17" s="5"/>
      <c r="K17" s="12">
        <f>300/1000</f>
        <v>0.3</v>
      </c>
      <c r="L17" s="5"/>
      <c r="M17" s="12">
        <f>100/1000</f>
        <v>0.1</v>
      </c>
      <c r="P17" s="1" t="s">
        <v>30</v>
      </c>
    </row>
    <row r="18" spans="1:16" ht="18" customHeight="1">
      <c r="A18" s="11" t="s">
        <v>113</v>
      </c>
      <c r="C18" s="12">
        <f>281254.79/1000</f>
        <v>281.25478999999996</v>
      </c>
      <c r="D18" s="4"/>
      <c r="E18" s="12">
        <f>180005.49/1000</f>
        <v>180.00548999999998</v>
      </c>
      <c r="F18" s="4"/>
      <c r="G18" s="12">
        <f>38165.48/1000</f>
        <v>38.16548</v>
      </c>
      <c r="H18" s="4"/>
      <c r="I18" s="12">
        <f>11987.46/1000</f>
        <v>11.987459999999999</v>
      </c>
      <c r="J18" s="4"/>
      <c r="K18" s="12">
        <f>7020.95/1000</f>
        <v>7.02095</v>
      </c>
      <c r="L18" s="4"/>
      <c r="M18" s="12">
        <f>44075.41/1000</f>
        <v>44.075410000000005</v>
      </c>
      <c r="N18" s="2"/>
      <c r="O18" s="2"/>
      <c r="P18" s="1" t="s">
        <v>31</v>
      </c>
    </row>
    <row r="19" spans="1:16" ht="18" customHeight="1">
      <c r="A19" s="11" t="s">
        <v>114</v>
      </c>
      <c r="C19" s="12">
        <f>23585.68/1000</f>
        <v>23.58568</v>
      </c>
      <c r="D19" s="4"/>
      <c r="E19" s="12">
        <f>22853.47/1000</f>
        <v>22.85347</v>
      </c>
      <c r="F19" s="4"/>
      <c r="G19" s="12">
        <f>183.96/1000</f>
        <v>0.18396</v>
      </c>
      <c r="H19" s="5"/>
      <c r="I19" s="12">
        <f>65.37/1000</f>
        <v>0.06537000000000001</v>
      </c>
      <c r="J19" s="5"/>
      <c r="K19" s="12">
        <f>482.29/1000</f>
        <v>0.48229</v>
      </c>
      <c r="L19" s="5"/>
      <c r="M19" s="12">
        <f>0.6/1000</f>
        <v>0.0006</v>
      </c>
      <c r="P19" s="1" t="s">
        <v>32</v>
      </c>
    </row>
    <row r="20" spans="1:16" ht="18" customHeight="1">
      <c r="A20" s="11" t="s">
        <v>115</v>
      </c>
      <c r="C20" s="12">
        <f>25722.2/1000</f>
        <v>25.7222</v>
      </c>
      <c r="D20" s="4"/>
      <c r="E20" s="12">
        <f>23081.87/1000</f>
        <v>23.08187</v>
      </c>
      <c r="F20" s="4"/>
      <c r="G20" s="12">
        <f>1350.77/1000</f>
        <v>1.35077</v>
      </c>
      <c r="H20" s="4"/>
      <c r="I20" s="12">
        <f>529.68/1000</f>
        <v>0.5296799999999999</v>
      </c>
      <c r="J20" s="5"/>
      <c r="K20" s="12">
        <f>620.11/1000</f>
        <v>0.62011</v>
      </c>
      <c r="L20" s="5"/>
      <c r="M20" s="12">
        <f>139.78/1000</f>
        <v>0.13978</v>
      </c>
      <c r="P20" s="1" t="s">
        <v>33</v>
      </c>
    </row>
    <row r="21" spans="1:16" ht="18" customHeight="1">
      <c r="A21" s="11" t="s">
        <v>116</v>
      </c>
      <c r="C21" s="12">
        <f>1475.89/1000</f>
        <v>1.4758900000000001</v>
      </c>
      <c r="D21" s="4"/>
      <c r="E21" s="12">
        <f>710.71/1000</f>
        <v>0.7107100000000001</v>
      </c>
      <c r="F21" s="5"/>
      <c r="G21" s="12">
        <f>635.18/1000</f>
        <v>0.63518</v>
      </c>
      <c r="H21" s="5"/>
      <c r="I21" s="12">
        <f>106/1000</f>
        <v>0.106</v>
      </c>
      <c r="J21" s="5"/>
      <c r="K21" s="12">
        <f>24/1000</f>
        <v>0.024</v>
      </c>
      <c r="L21" s="5"/>
      <c r="M21" s="12" t="s">
        <v>22</v>
      </c>
      <c r="P21" s="1" t="s">
        <v>34</v>
      </c>
    </row>
    <row r="22" spans="1:16" ht="18" customHeight="1">
      <c r="A22" s="11" t="s">
        <v>117</v>
      </c>
      <c r="C22" s="12">
        <f>6713.59/1000</f>
        <v>6.71359</v>
      </c>
      <c r="D22" s="4"/>
      <c r="E22" s="12">
        <f>5766.36/1000</f>
        <v>5.76636</v>
      </c>
      <c r="F22" s="4"/>
      <c r="G22" s="12">
        <f>656.39/1000</f>
        <v>0.65639</v>
      </c>
      <c r="H22" s="5"/>
      <c r="I22" s="12">
        <f>10.35/1000</f>
        <v>0.01035</v>
      </c>
      <c r="J22" s="5"/>
      <c r="K22" s="12">
        <f>280.5/1000</f>
        <v>0.2805</v>
      </c>
      <c r="L22" s="5"/>
      <c r="M22" s="12" t="s">
        <v>22</v>
      </c>
      <c r="P22" s="1" t="s">
        <v>35</v>
      </c>
    </row>
    <row r="23" spans="1:16" ht="18" customHeight="1">
      <c r="A23" s="11" t="s">
        <v>118</v>
      </c>
      <c r="C23" s="12">
        <f>21451.76/1000</f>
        <v>21.45176</v>
      </c>
      <c r="D23" s="4"/>
      <c r="E23" s="12">
        <f>18228.11/1000</f>
        <v>18.22811</v>
      </c>
      <c r="F23" s="4"/>
      <c r="G23" s="12">
        <f>1447.45/1000</f>
        <v>1.4474500000000001</v>
      </c>
      <c r="H23" s="4"/>
      <c r="I23" s="12">
        <f>424.2/1000</f>
        <v>0.42419999999999997</v>
      </c>
      <c r="J23" s="5"/>
      <c r="K23" s="12">
        <f>1352/1000</f>
        <v>1.352</v>
      </c>
      <c r="L23" s="4"/>
      <c r="M23" s="12" t="s">
        <v>22</v>
      </c>
      <c r="P23" s="1" t="s">
        <v>36</v>
      </c>
    </row>
    <row r="24" spans="1:16" ht="18" customHeight="1">
      <c r="A24" s="11" t="s">
        <v>119</v>
      </c>
      <c r="C24" s="12">
        <f>3016.86/1000</f>
        <v>3.0168600000000003</v>
      </c>
      <c r="D24" s="4"/>
      <c r="E24" s="12">
        <f>2493.97/1000</f>
        <v>2.49397</v>
      </c>
      <c r="F24" s="4"/>
      <c r="G24" s="12">
        <f>96.5/1000</f>
        <v>0.0965</v>
      </c>
      <c r="H24" s="5"/>
      <c r="I24" s="12">
        <f>194.79/1000</f>
        <v>0.19479</v>
      </c>
      <c r="J24" s="5"/>
      <c r="K24" s="12">
        <f>99.08/1000</f>
        <v>0.09908</v>
      </c>
      <c r="L24" s="5"/>
      <c r="M24" s="12">
        <f>132.52/1000</f>
        <v>0.13252</v>
      </c>
      <c r="P24" s="1" t="s">
        <v>37</v>
      </c>
    </row>
    <row r="25" spans="1:16" ht="18" customHeight="1">
      <c r="A25" s="11" t="s">
        <v>120</v>
      </c>
      <c r="C25" s="12">
        <f>3576.74/1000</f>
        <v>3.5767399999999996</v>
      </c>
      <c r="D25" s="4"/>
      <c r="E25" s="12">
        <f>2306.08/1000</f>
        <v>2.30608</v>
      </c>
      <c r="F25" s="4"/>
      <c r="G25" s="12">
        <f>16.58/1000</f>
        <v>0.016579999999999998</v>
      </c>
      <c r="H25" s="5"/>
      <c r="I25" s="12">
        <f>245.63/1000</f>
        <v>0.24563</v>
      </c>
      <c r="J25" s="5"/>
      <c r="K25" s="12">
        <f>432.36/1000</f>
        <v>0.43236</v>
      </c>
      <c r="L25" s="5"/>
      <c r="M25" s="12">
        <f>576.1/1000</f>
        <v>0.5761000000000001</v>
      </c>
      <c r="P25" s="1" t="s">
        <v>38</v>
      </c>
    </row>
    <row r="26" spans="1:16" ht="18" customHeight="1">
      <c r="A26" s="11" t="s">
        <v>121</v>
      </c>
      <c r="C26" s="12">
        <f>14795.6/1000</f>
        <v>14.7956</v>
      </c>
      <c r="D26" s="4"/>
      <c r="E26" s="12">
        <f>12008.77/1000</f>
        <v>12.00877</v>
      </c>
      <c r="F26" s="4"/>
      <c r="G26" s="12">
        <f>1129.73/1000</f>
        <v>1.1297300000000001</v>
      </c>
      <c r="H26" s="4"/>
      <c r="I26" s="12">
        <f>752.53/1000</f>
        <v>0.7525299999999999</v>
      </c>
      <c r="J26" s="5"/>
      <c r="K26" s="12">
        <f>544.35/1000</f>
        <v>0.54435</v>
      </c>
      <c r="L26" s="5"/>
      <c r="M26" s="12">
        <f>360.22/1000</f>
        <v>0.36022000000000004</v>
      </c>
      <c r="P26" s="1" t="s">
        <v>39</v>
      </c>
    </row>
    <row r="27" spans="1:16" ht="18" customHeight="1">
      <c r="A27" s="11" t="s">
        <v>122</v>
      </c>
      <c r="C27" s="12">
        <f>17449.64/1000</f>
        <v>17.44964</v>
      </c>
      <c r="D27" s="4"/>
      <c r="E27" s="12">
        <f>12968.26/1000</f>
        <v>12.96826</v>
      </c>
      <c r="F27" s="4"/>
      <c r="G27" s="12">
        <f>3248.36/1000</f>
        <v>3.24836</v>
      </c>
      <c r="H27" s="4"/>
      <c r="I27" s="12">
        <f>251.63/1000</f>
        <v>0.25163</v>
      </c>
      <c r="J27" s="5"/>
      <c r="K27" s="12">
        <f>981.4/1000</f>
        <v>0.9813999999999999</v>
      </c>
      <c r="L27" s="5"/>
      <c r="M27" s="12" t="s">
        <v>22</v>
      </c>
      <c r="P27" s="1" t="s">
        <v>40</v>
      </c>
    </row>
    <row r="28" spans="1:16" ht="18" customHeight="1">
      <c r="A28" s="11" t="s">
        <v>123</v>
      </c>
      <c r="C28" s="12">
        <f>9635.24/1000</f>
        <v>9.63524</v>
      </c>
      <c r="D28" s="4"/>
      <c r="E28" s="12">
        <f>4390.09/1000</f>
        <v>4.39009</v>
      </c>
      <c r="F28" s="4"/>
      <c r="G28" s="12">
        <f>2094.61/1000</f>
        <v>2.0946100000000003</v>
      </c>
      <c r="H28" s="4"/>
      <c r="I28" s="12">
        <f>136.62/1000</f>
        <v>0.13662</v>
      </c>
      <c r="J28" s="5"/>
      <c r="K28" s="12">
        <f>38/1000</f>
        <v>0.038</v>
      </c>
      <c r="L28" s="5"/>
      <c r="M28" s="12">
        <f>2975.92/1000</f>
        <v>2.97592</v>
      </c>
      <c r="N28" s="2"/>
      <c r="O28" s="2"/>
      <c r="P28" s="1" t="s">
        <v>41</v>
      </c>
    </row>
    <row r="29" spans="1:16" ht="18" customHeight="1">
      <c r="A29" s="11" t="s">
        <v>124</v>
      </c>
      <c r="C29" s="12">
        <f>28740.05/1000</f>
        <v>28.74005</v>
      </c>
      <c r="D29" s="4"/>
      <c r="E29" s="12">
        <f>13597.56/1000</f>
        <v>13.59756</v>
      </c>
      <c r="F29" s="4"/>
      <c r="G29" s="12">
        <f>3343.39/1000</f>
        <v>3.34339</v>
      </c>
      <c r="H29" s="4"/>
      <c r="I29" s="12">
        <f>10296.93/1000</f>
        <v>10.29693</v>
      </c>
      <c r="J29" s="4"/>
      <c r="K29" s="12">
        <f>862.05/1000</f>
        <v>0.86205</v>
      </c>
      <c r="L29" s="5"/>
      <c r="M29" s="12">
        <f>640.12/1000</f>
        <v>0.64012</v>
      </c>
      <c r="P29" s="1" t="s">
        <v>42</v>
      </c>
    </row>
    <row r="30" spans="1:16" ht="18" customHeight="1">
      <c r="A30" s="11" t="s">
        <v>125</v>
      </c>
      <c r="C30" s="12">
        <f>1669.23/1000</f>
        <v>1.66923</v>
      </c>
      <c r="D30" s="4"/>
      <c r="E30" s="12">
        <f>1123.69/1000</f>
        <v>1.12369</v>
      </c>
      <c r="F30" s="4"/>
      <c r="G30" s="12">
        <f>27/1000</f>
        <v>0.027</v>
      </c>
      <c r="H30" s="5"/>
      <c r="I30" s="12">
        <f>19.54/1000</f>
        <v>0.01954</v>
      </c>
      <c r="J30" s="5"/>
      <c r="K30" s="12">
        <f>499/1000</f>
        <v>0.499</v>
      </c>
      <c r="L30" s="5"/>
      <c r="M30" s="12" t="s">
        <v>22</v>
      </c>
      <c r="P30" s="1" t="s">
        <v>43</v>
      </c>
    </row>
    <row r="31" spans="1:16" ht="18" customHeight="1">
      <c r="A31" s="11" t="s">
        <v>126</v>
      </c>
      <c r="C31" s="12">
        <f>999.95/1000</f>
        <v>0.99995</v>
      </c>
      <c r="D31" s="5"/>
      <c r="E31" s="12">
        <f>958/1000</f>
        <v>0.958</v>
      </c>
      <c r="F31" s="5"/>
      <c r="G31" s="12" t="s">
        <v>22</v>
      </c>
      <c r="H31" s="5"/>
      <c r="I31" s="12">
        <f>36.2/1000</f>
        <v>0.0362</v>
      </c>
      <c r="J31" s="5"/>
      <c r="K31" s="12">
        <f>5/1000</f>
        <v>0.005</v>
      </c>
      <c r="L31" s="5"/>
      <c r="M31" s="12">
        <f>0.75/1000</f>
        <v>0.00075</v>
      </c>
      <c r="P31" s="1" t="s">
        <v>44</v>
      </c>
    </row>
    <row r="32" spans="1:16" ht="18" customHeight="1">
      <c r="A32" s="11" t="s">
        <v>127</v>
      </c>
      <c r="C32" s="12">
        <f>156335.65/1000</f>
        <v>156.33565</v>
      </c>
      <c r="D32" s="4"/>
      <c r="E32" s="12">
        <f>118617.05/1000</f>
        <v>118.61705</v>
      </c>
      <c r="F32" s="4"/>
      <c r="G32" s="12">
        <f>18917.11/1000</f>
        <v>18.91711</v>
      </c>
      <c r="H32" s="4"/>
      <c r="I32" s="12">
        <f>8761.29/1000</f>
        <v>8.76129</v>
      </c>
      <c r="J32" s="4"/>
      <c r="K32" s="12">
        <f>3151.5/1000</f>
        <v>3.1515</v>
      </c>
      <c r="L32" s="4"/>
      <c r="M32" s="12">
        <f>6888.7/1000</f>
        <v>6.8887</v>
      </c>
      <c r="N32" s="2"/>
      <c r="O32" s="2"/>
      <c r="P32" s="1" t="s">
        <v>45</v>
      </c>
    </row>
    <row r="33" spans="1:16" ht="18" customHeight="1">
      <c r="A33" s="11" t="s">
        <v>128</v>
      </c>
      <c r="C33" s="12">
        <f>105739.3/1000</f>
        <v>105.7393</v>
      </c>
      <c r="D33" s="4"/>
      <c r="E33" s="12">
        <f>74595.2/1000</f>
        <v>74.59519999999999</v>
      </c>
      <c r="F33" s="4"/>
      <c r="G33" s="12">
        <f>24622.94/1000</f>
        <v>24.62294</v>
      </c>
      <c r="H33" s="4"/>
      <c r="I33" s="12">
        <f>1187.38/1000</f>
        <v>1.18738</v>
      </c>
      <c r="J33" s="4"/>
      <c r="K33" s="12">
        <f>2769.9/1000</f>
        <v>2.7699000000000003</v>
      </c>
      <c r="L33" s="4"/>
      <c r="M33" s="12">
        <f>2563.88/1000</f>
        <v>2.56388</v>
      </c>
      <c r="N33" s="2"/>
      <c r="O33" s="2"/>
      <c r="P33" s="1" t="s">
        <v>46</v>
      </c>
    </row>
    <row r="34" spans="1:16" ht="9.75" customHeight="1">
      <c r="A34" s="6"/>
      <c r="B34" s="6"/>
      <c r="C34" s="7"/>
      <c r="D34" s="7"/>
      <c r="E34" s="7"/>
      <c r="F34" s="7"/>
      <c r="G34" s="7"/>
      <c r="H34" s="7"/>
      <c r="I34" s="7"/>
      <c r="J34" s="7"/>
      <c r="K34" s="7"/>
      <c r="L34" s="7"/>
      <c r="M34" s="13"/>
      <c r="N34" s="8"/>
      <c r="O34" s="8"/>
      <c r="P34" s="6"/>
    </row>
    <row r="35" s="3" customFormat="1" ht="18" customHeight="1">
      <c r="A35" s="3" t="s">
        <v>182</v>
      </c>
    </row>
    <row r="36" s="3" customFormat="1" ht="18" customHeight="1">
      <c r="A36" s="3" t="s">
        <v>102</v>
      </c>
    </row>
    <row r="37" ht="18.75" customHeight="1">
      <c r="P37" s="5" t="s">
        <v>183</v>
      </c>
    </row>
    <row r="38" spans="1:16" ht="21" customHeight="1">
      <c r="A38" s="44" t="s">
        <v>100</v>
      </c>
      <c r="B38" s="17"/>
      <c r="C38" s="18" t="s">
        <v>0</v>
      </c>
      <c r="D38" s="18"/>
      <c r="E38" s="19" t="s">
        <v>1</v>
      </c>
      <c r="F38" s="18"/>
      <c r="G38" s="19" t="s">
        <v>2</v>
      </c>
      <c r="H38" s="19"/>
      <c r="I38" s="19" t="s">
        <v>3</v>
      </c>
      <c r="J38" s="18"/>
      <c r="K38" s="19" t="s">
        <v>4</v>
      </c>
      <c r="L38" s="18"/>
      <c r="M38" s="19" t="s">
        <v>5</v>
      </c>
      <c r="N38" s="18"/>
      <c r="O38" s="18"/>
      <c r="P38" s="44" t="s">
        <v>101</v>
      </c>
    </row>
    <row r="39" spans="1:16" ht="21" customHeight="1">
      <c r="A39" s="45"/>
      <c r="B39" s="20"/>
      <c r="C39" s="21" t="s">
        <v>6</v>
      </c>
      <c r="D39" s="22"/>
      <c r="E39" s="21" t="s">
        <v>7</v>
      </c>
      <c r="F39" s="22"/>
      <c r="G39" s="21" t="s">
        <v>8</v>
      </c>
      <c r="H39" s="21"/>
      <c r="I39" s="21" t="s">
        <v>9</v>
      </c>
      <c r="J39" s="22"/>
      <c r="K39" s="21" t="s">
        <v>10</v>
      </c>
      <c r="L39" s="22"/>
      <c r="M39" s="21" t="s">
        <v>11</v>
      </c>
      <c r="N39" s="22"/>
      <c r="O39" s="22"/>
      <c r="P39" s="45"/>
    </row>
    <row r="40" spans="1:16" ht="21" customHeight="1">
      <c r="A40" s="45"/>
      <c r="B40" s="20"/>
      <c r="C40" s="21" t="s">
        <v>12</v>
      </c>
      <c r="D40" s="22"/>
      <c r="E40" s="21" t="s">
        <v>13</v>
      </c>
      <c r="F40" s="22"/>
      <c r="G40" s="21" t="s">
        <v>14</v>
      </c>
      <c r="H40" s="21"/>
      <c r="I40" s="21" t="s">
        <v>15</v>
      </c>
      <c r="J40" s="22"/>
      <c r="K40" s="21" t="s">
        <v>0</v>
      </c>
      <c r="L40" s="22"/>
      <c r="M40" s="21" t="s">
        <v>16</v>
      </c>
      <c r="N40" s="22"/>
      <c r="O40" s="22"/>
      <c r="P40" s="45"/>
    </row>
    <row r="41" spans="1:16" ht="21" customHeight="1">
      <c r="A41" s="46"/>
      <c r="B41" s="23"/>
      <c r="C41" s="6" t="s">
        <v>0</v>
      </c>
      <c r="D41" s="6"/>
      <c r="E41" s="24" t="s">
        <v>17</v>
      </c>
      <c r="F41" s="6"/>
      <c r="G41" s="24" t="s">
        <v>18</v>
      </c>
      <c r="H41" s="24"/>
      <c r="I41" s="24" t="s">
        <v>19</v>
      </c>
      <c r="J41" s="6"/>
      <c r="K41" s="6" t="s">
        <v>0</v>
      </c>
      <c r="L41" s="6"/>
      <c r="M41" s="24" t="s">
        <v>0</v>
      </c>
      <c r="N41" s="6"/>
      <c r="O41" s="6"/>
      <c r="P41" s="46"/>
    </row>
    <row r="42" spans="1:16" s="3" customFormat="1" ht="21.75">
      <c r="A42" s="10" t="s">
        <v>129</v>
      </c>
      <c r="C42" s="14">
        <f>1015898.97/1000</f>
        <v>1015.89897</v>
      </c>
      <c r="D42" s="15"/>
      <c r="E42" s="14">
        <f>669871.99/1000</f>
        <v>669.87199</v>
      </c>
      <c r="F42" s="15"/>
      <c r="G42" s="14">
        <f>203369.28/1000</f>
        <v>203.36928</v>
      </c>
      <c r="H42" s="15"/>
      <c r="I42" s="14">
        <f>71515.19/1000</f>
        <v>71.51519</v>
      </c>
      <c r="J42" s="15"/>
      <c r="K42" s="14">
        <f>35916.28/1000</f>
        <v>35.91628</v>
      </c>
      <c r="L42" s="15"/>
      <c r="M42" s="14">
        <f>35226.23/1000</f>
        <v>35.22623</v>
      </c>
      <c r="N42" s="16"/>
      <c r="O42" s="16"/>
      <c r="P42" s="3" t="s">
        <v>47</v>
      </c>
    </row>
    <row r="43" spans="1:16" ht="21.75">
      <c r="A43" s="11" t="s">
        <v>130</v>
      </c>
      <c r="C43" s="12">
        <f>467016.4/1000</f>
        <v>467.01640000000003</v>
      </c>
      <c r="D43" s="4"/>
      <c r="E43" s="12">
        <f>295132.75/1000</f>
        <v>295.13275</v>
      </c>
      <c r="F43" s="4"/>
      <c r="G43" s="12">
        <f>97716.69/1000</f>
        <v>97.71669</v>
      </c>
      <c r="H43" s="4"/>
      <c r="I43" s="12">
        <f>30261.81/1000</f>
        <v>30.26181</v>
      </c>
      <c r="J43" s="4"/>
      <c r="K43" s="12">
        <f>14935.99/1000</f>
        <v>14.93599</v>
      </c>
      <c r="L43" s="4"/>
      <c r="M43" s="12">
        <f>28969.16/1000</f>
        <v>28.96916</v>
      </c>
      <c r="N43" s="2"/>
      <c r="O43" s="2"/>
      <c r="P43" s="1" t="s">
        <v>48</v>
      </c>
    </row>
    <row r="44" spans="1:16" ht="21.75">
      <c r="A44" s="11" t="s">
        <v>131</v>
      </c>
      <c r="C44" s="12">
        <f>656/1000</f>
        <v>0.656</v>
      </c>
      <c r="D44" s="5"/>
      <c r="E44" s="12">
        <f>389/1000</f>
        <v>0.389</v>
      </c>
      <c r="F44" s="5"/>
      <c r="G44" s="12">
        <f>68.8/1000</f>
        <v>0.0688</v>
      </c>
      <c r="H44" s="5"/>
      <c r="I44" s="12">
        <f>22.6/1000</f>
        <v>0.022600000000000002</v>
      </c>
      <c r="J44" s="5"/>
      <c r="K44" s="12">
        <f>175.6/1000</f>
        <v>0.1756</v>
      </c>
      <c r="L44" s="5"/>
      <c r="M44" s="12" t="s">
        <v>22</v>
      </c>
      <c r="P44" s="1" t="s">
        <v>49</v>
      </c>
    </row>
    <row r="45" spans="1:16" ht="21.75">
      <c r="A45" s="11" t="s">
        <v>132</v>
      </c>
      <c r="C45" s="12">
        <f>25346.92/1000</f>
        <v>25.346919999999997</v>
      </c>
      <c r="D45" s="4"/>
      <c r="E45" s="12">
        <f>14295.59/1000</f>
        <v>14.29559</v>
      </c>
      <c r="F45" s="4"/>
      <c r="G45" s="12">
        <f>8419.68/1000</f>
        <v>8.41968</v>
      </c>
      <c r="H45" s="4"/>
      <c r="I45" s="12">
        <f>1516.51/1000</f>
        <v>1.51651</v>
      </c>
      <c r="J45" s="4"/>
      <c r="K45" s="12">
        <f>1115.14/1000</f>
        <v>1.11514</v>
      </c>
      <c r="L45" s="4"/>
      <c r="M45" s="12" t="s">
        <v>22</v>
      </c>
      <c r="P45" s="1" t="s">
        <v>50</v>
      </c>
    </row>
    <row r="46" spans="1:16" ht="21.75">
      <c r="A46" s="11" t="s">
        <v>133</v>
      </c>
      <c r="C46" s="12">
        <f>53525.83/1000</f>
        <v>53.52583</v>
      </c>
      <c r="D46" s="4"/>
      <c r="E46" s="12">
        <f>7439.27/1000</f>
        <v>7.4392700000000005</v>
      </c>
      <c r="F46" s="4"/>
      <c r="G46" s="12">
        <f>41615.94/1000</f>
        <v>41.61594</v>
      </c>
      <c r="H46" s="4"/>
      <c r="I46" s="12">
        <f>2403.14/1000</f>
        <v>2.40314</v>
      </c>
      <c r="J46" s="4"/>
      <c r="K46" s="12">
        <f>2017.34/1000</f>
        <v>2.01734</v>
      </c>
      <c r="L46" s="4"/>
      <c r="M46" s="12">
        <f>50.14/1000</f>
        <v>0.050140000000000004</v>
      </c>
      <c r="P46" s="1" t="s">
        <v>51</v>
      </c>
    </row>
    <row r="47" spans="1:16" ht="21.75">
      <c r="A47" s="11" t="s">
        <v>134</v>
      </c>
      <c r="C47" s="12">
        <f>7577.96/1000</f>
        <v>7.57796</v>
      </c>
      <c r="D47" s="4"/>
      <c r="E47" s="12">
        <f>4440.57/1000</f>
        <v>4.44057</v>
      </c>
      <c r="F47" s="4"/>
      <c r="G47" s="12">
        <f>1803.87/1000</f>
        <v>1.8038699999999999</v>
      </c>
      <c r="H47" s="4"/>
      <c r="I47" s="12">
        <f>1073.81/1000</f>
        <v>1.07381</v>
      </c>
      <c r="J47" s="4"/>
      <c r="K47" s="12">
        <f>169.64/1000</f>
        <v>0.16963999999999999</v>
      </c>
      <c r="L47" s="5"/>
      <c r="M47" s="12">
        <f>90.07/1000</f>
        <v>0.09007</v>
      </c>
      <c r="P47" s="1" t="s">
        <v>52</v>
      </c>
    </row>
    <row r="48" spans="1:16" ht="21.75">
      <c r="A48" s="11" t="s">
        <v>135</v>
      </c>
      <c r="C48" s="12">
        <f>12537.83/1000</f>
        <v>12.53783</v>
      </c>
      <c r="D48" s="4"/>
      <c r="E48" s="12">
        <f>7024.52/1000</f>
        <v>7.024520000000001</v>
      </c>
      <c r="F48" s="4"/>
      <c r="G48" s="12">
        <f>4407.45/1000</f>
        <v>4.40745</v>
      </c>
      <c r="H48" s="4"/>
      <c r="I48" s="12">
        <f>881.88/1000</f>
        <v>0.88188</v>
      </c>
      <c r="J48" s="5"/>
      <c r="K48" s="12">
        <f>201.6/1000</f>
        <v>0.2016</v>
      </c>
      <c r="L48" s="5"/>
      <c r="M48" s="12">
        <f>22.39/1000</f>
        <v>0.02239</v>
      </c>
      <c r="P48" s="1" t="s">
        <v>53</v>
      </c>
    </row>
    <row r="49" spans="1:16" ht="21.75">
      <c r="A49" s="11" t="s">
        <v>136</v>
      </c>
      <c r="C49" s="12">
        <f>10598.11/1000</f>
        <v>10.59811</v>
      </c>
      <c r="D49" s="4"/>
      <c r="E49" s="12">
        <f>7018.12/1000</f>
        <v>7.01812</v>
      </c>
      <c r="F49" s="4"/>
      <c r="G49" s="12">
        <f>3209.62/1000</f>
        <v>3.2096199999999997</v>
      </c>
      <c r="H49" s="4"/>
      <c r="I49" s="12">
        <f>242.37/1000</f>
        <v>0.24237</v>
      </c>
      <c r="J49" s="5"/>
      <c r="K49" s="12">
        <f>128/1000</f>
        <v>0.128</v>
      </c>
      <c r="L49" s="5"/>
      <c r="M49" s="12" t="s">
        <v>22</v>
      </c>
      <c r="P49" s="1" t="s">
        <v>54</v>
      </c>
    </row>
    <row r="50" spans="1:16" ht="21.75">
      <c r="A50" s="11" t="s">
        <v>137</v>
      </c>
      <c r="C50" s="12">
        <f>91689.55/1000</f>
        <v>91.68955</v>
      </c>
      <c r="D50" s="4"/>
      <c r="E50" s="12">
        <f>73993.57/1000</f>
        <v>73.99357</v>
      </c>
      <c r="F50" s="4"/>
      <c r="G50" s="12">
        <f>6917.55/1000</f>
        <v>6.91755</v>
      </c>
      <c r="H50" s="4"/>
      <c r="I50" s="12">
        <f>2791.19/1000</f>
        <v>2.79119</v>
      </c>
      <c r="J50" s="4"/>
      <c r="K50" s="12">
        <f>3918.3/1000</f>
        <v>3.9183000000000003</v>
      </c>
      <c r="L50" s="4"/>
      <c r="M50" s="12">
        <f>4068.94/1000</f>
        <v>4.0689400000000004</v>
      </c>
      <c r="N50" s="2"/>
      <c r="O50" s="2"/>
      <c r="P50" s="1" t="s">
        <v>55</v>
      </c>
    </row>
    <row r="51" spans="1:16" ht="21.75">
      <c r="A51" s="11" t="s">
        <v>138</v>
      </c>
      <c r="C51" s="12">
        <f>68160.67/1000</f>
        <v>68.16067</v>
      </c>
      <c r="D51" s="4"/>
      <c r="E51" s="12">
        <f>57282.07/1000</f>
        <v>57.28207</v>
      </c>
      <c r="F51" s="4"/>
      <c r="G51" s="12">
        <f>1400.36/1000</f>
        <v>1.4003599999999998</v>
      </c>
      <c r="H51" s="4"/>
      <c r="I51" s="12">
        <f>5448.54/1000</f>
        <v>5.44854</v>
      </c>
      <c r="J51" s="4"/>
      <c r="K51" s="12">
        <f>3629.97/1000</f>
        <v>3.6299699999999997</v>
      </c>
      <c r="L51" s="4"/>
      <c r="M51" s="12">
        <f>399.73/1000</f>
        <v>0.39973000000000003</v>
      </c>
      <c r="P51" s="1" t="s">
        <v>56</v>
      </c>
    </row>
    <row r="52" spans="1:16" ht="21.75">
      <c r="A52" s="11" t="s">
        <v>139</v>
      </c>
      <c r="C52" s="12">
        <f>32373.05/1000</f>
        <v>32.37305</v>
      </c>
      <c r="D52" s="4"/>
      <c r="E52" s="12">
        <f>22495.13/1000</f>
        <v>22.49513</v>
      </c>
      <c r="F52" s="4"/>
      <c r="G52" s="12">
        <f>4539.2/1000</f>
        <v>4.5392</v>
      </c>
      <c r="H52" s="4"/>
      <c r="I52" s="12">
        <f>1901.04/1000</f>
        <v>1.90104</v>
      </c>
      <c r="J52" s="4"/>
      <c r="K52" s="12">
        <f>3171.08/1000</f>
        <v>3.17108</v>
      </c>
      <c r="L52" s="4"/>
      <c r="M52" s="12">
        <f>266.61/1000</f>
        <v>0.26661</v>
      </c>
      <c r="P52" s="1" t="s">
        <v>57</v>
      </c>
    </row>
    <row r="53" spans="1:16" ht="21.75">
      <c r="A53" s="11" t="s">
        <v>140</v>
      </c>
      <c r="C53" s="12">
        <f>7668.18/1000</f>
        <v>7.66818</v>
      </c>
      <c r="D53" s="4"/>
      <c r="E53" s="12">
        <f>7531.53/1000</f>
        <v>7.53153</v>
      </c>
      <c r="F53" s="4"/>
      <c r="G53" s="12">
        <f>107.12/1000</f>
        <v>0.10712</v>
      </c>
      <c r="H53" s="5"/>
      <c r="I53" s="12">
        <f>29.53/1000</f>
        <v>0.02953</v>
      </c>
      <c r="J53" s="5"/>
      <c r="K53" s="12" t="s">
        <v>22</v>
      </c>
      <c r="L53" s="5"/>
      <c r="M53" s="12" t="s">
        <v>22</v>
      </c>
      <c r="P53" s="1" t="s">
        <v>58</v>
      </c>
    </row>
    <row r="54" spans="1:16" ht="21.75">
      <c r="A54" s="11" t="s">
        <v>141</v>
      </c>
      <c r="C54" s="12">
        <f>8817.48/1000</f>
        <v>8.81748</v>
      </c>
      <c r="D54" s="4"/>
      <c r="E54" s="12">
        <f>2538.63/1000</f>
        <v>2.53863</v>
      </c>
      <c r="F54" s="4"/>
      <c r="G54" s="12">
        <f>5201.98/1000</f>
        <v>5.20198</v>
      </c>
      <c r="H54" s="4"/>
      <c r="I54" s="12">
        <f>564.16/1000</f>
        <v>0.56416</v>
      </c>
      <c r="J54" s="5"/>
      <c r="K54" s="12">
        <f>512.71/1000</f>
        <v>0.51271</v>
      </c>
      <c r="L54" s="5"/>
      <c r="M54" s="12" t="s">
        <v>22</v>
      </c>
      <c r="P54" s="1" t="s">
        <v>59</v>
      </c>
    </row>
    <row r="55" spans="1:16" ht="21.75">
      <c r="A55" s="11" t="s">
        <v>142</v>
      </c>
      <c r="C55" s="12">
        <f>21734.18/1000</f>
        <v>21.734180000000002</v>
      </c>
      <c r="D55" s="4"/>
      <c r="E55" s="12">
        <f>16965.12/1000</f>
        <v>16.96512</v>
      </c>
      <c r="F55" s="4"/>
      <c r="G55" s="12">
        <f>2403.55/1000</f>
        <v>2.40355</v>
      </c>
      <c r="H55" s="4"/>
      <c r="I55" s="12">
        <f>423.52/1000</f>
        <v>0.42352</v>
      </c>
      <c r="J55" s="5"/>
      <c r="K55" s="12">
        <f>994.78/1000</f>
        <v>0.99478</v>
      </c>
      <c r="L55" s="5"/>
      <c r="M55" s="12">
        <f>947.2/1000</f>
        <v>0.9472</v>
      </c>
      <c r="P55" s="1" t="s">
        <v>60</v>
      </c>
    </row>
    <row r="56" spans="1:16" ht="21.75">
      <c r="A56" s="11" t="s">
        <v>143</v>
      </c>
      <c r="C56" s="12">
        <f>136539.06/1000</f>
        <v>136.53906</v>
      </c>
      <c r="D56" s="4"/>
      <c r="E56" s="12">
        <f>119480.84/1000</f>
        <v>119.48084</v>
      </c>
      <c r="F56" s="4"/>
      <c r="G56" s="12">
        <f>303.29/1000</f>
        <v>0.30329</v>
      </c>
      <c r="H56" s="5"/>
      <c r="I56" s="12">
        <f>14421.59/1000</f>
        <v>14.42159</v>
      </c>
      <c r="J56" s="4"/>
      <c r="K56" s="12">
        <f>2328.34/1000</f>
        <v>2.3283400000000003</v>
      </c>
      <c r="L56" s="4"/>
      <c r="M56" s="12">
        <f>5/1000</f>
        <v>0.005</v>
      </c>
      <c r="P56" s="1" t="s">
        <v>61</v>
      </c>
    </row>
    <row r="57" spans="1:16" ht="21.75">
      <c r="A57" s="11" t="s">
        <v>144</v>
      </c>
      <c r="C57" s="12">
        <f>52076.62/1000</f>
        <v>52.076620000000005</v>
      </c>
      <c r="D57" s="4"/>
      <c r="E57" s="12">
        <f>22439.04/1000</f>
        <v>22.439040000000002</v>
      </c>
      <c r="F57" s="4"/>
      <c r="G57" s="12">
        <f>18287.26/1000</f>
        <v>18.28726</v>
      </c>
      <c r="H57" s="4"/>
      <c r="I57" s="12">
        <f>9370.01/1000</f>
        <v>9.37001</v>
      </c>
      <c r="J57" s="4"/>
      <c r="K57" s="12">
        <f>1973.31/1000</f>
        <v>1.97331</v>
      </c>
      <c r="L57" s="4"/>
      <c r="M57" s="12">
        <f>7/1000</f>
        <v>0.007</v>
      </c>
      <c r="P57" s="1" t="s">
        <v>62</v>
      </c>
    </row>
    <row r="58" spans="1:16" ht="21.75">
      <c r="A58" s="11" t="s">
        <v>145</v>
      </c>
      <c r="C58" s="12">
        <f>13319.76/1000</f>
        <v>13.31976</v>
      </c>
      <c r="D58" s="4"/>
      <c r="E58" s="12">
        <f>6631.59/1000</f>
        <v>6.63159</v>
      </c>
      <c r="F58" s="4"/>
      <c r="G58" s="12">
        <f>6295.79/1000</f>
        <v>6.29579</v>
      </c>
      <c r="H58" s="4"/>
      <c r="I58" s="12">
        <f>67.88/1000</f>
        <v>0.06788</v>
      </c>
      <c r="J58" s="5"/>
      <c r="K58" s="12">
        <f>324.49/1000</f>
        <v>0.32449</v>
      </c>
      <c r="L58" s="5"/>
      <c r="M58" s="12" t="s">
        <v>22</v>
      </c>
      <c r="P58" s="1" t="s">
        <v>63</v>
      </c>
    </row>
    <row r="59" spans="1:16" ht="21.75">
      <c r="A59" s="11" t="s">
        <v>146</v>
      </c>
      <c r="C59" s="12">
        <f>6261.38/1000</f>
        <v>6.26138</v>
      </c>
      <c r="D59" s="4"/>
      <c r="E59" s="12">
        <f>4774.65/1000</f>
        <v>4.774649999999999</v>
      </c>
      <c r="F59" s="4"/>
      <c r="G59" s="12">
        <f>671.12/1000</f>
        <v>0.67112</v>
      </c>
      <c r="H59" s="5"/>
      <c r="I59" s="12">
        <f>95.6/1000</f>
        <v>0.09559999999999999</v>
      </c>
      <c r="J59" s="5"/>
      <c r="K59" s="12">
        <f>320/1000</f>
        <v>0.32</v>
      </c>
      <c r="L59" s="5"/>
      <c r="M59" s="12">
        <f>400/1000</f>
        <v>0.4</v>
      </c>
      <c r="P59" s="1" t="s">
        <v>64</v>
      </c>
    </row>
    <row r="60" spans="1:16" ht="9.75" customHeight="1">
      <c r="A60" s="6"/>
      <c r="B60" s="6"/>
      <c r="C60" s="7"/>
      <c r="D60" s="7"/>
      <c r="E60" s="7"/>
      <c r="F60" s="7"/>
      <c r="G60" s="9"/>
      <c r="H60" s="9"/>
      <c r="I60" s="9"/>
      <c r="J60" s="9"/>
      <c r="K60" s="9"/>
      <c r="L60" s="9"/>
      <c r="M60" s="9"/>
      <c r="N60" s="6"/>
      <c r="O60" s="6"/>
      <c r="P60" s="6"/>
    </row>
    <row r="61" spans="3:13" ht="9.75" customHeight="1">
      <c r="C61" s="4"/>
      <c r="D61" s="4"/>
      <c r="E61" s="4"/>
      <c r="F61" s="4"/>
      <c r="G61" s="5"/>
      <c r="H61" s="5"/>
      <c r="I61" s="5"/>
      <c r="J61" s="5"/>
      <c r="K61" s="5"/>
      <c r="L61" s="5"/>
      <c r="M61" s="5"/>
    </row>
    <row r="62" spans="3:13" ht="21">
      <c r="C62" s="4"/>
      <c r="D62" s="4"/>
      <c r="E62" s="4"/>
      <c r="F62" s="4"/>
      <c r="G62" s="5"/>
      <c r="H62" s="5"/>
      <c r="I62" s="5"/>
      <c r="J62" s="5"/>
      <c r="K62" s="5"/>
      <c r="L62" s="5"/>
      <c r="M62" s="5"/>
    </row>
    <row r="63" spans="3:13" ht="21">
      <c r="C63" s="4"/>
      <c r="D63" s="4"/>
      <c r="E63" s="4"/>
      <c r="F63" s="4"/>
      <c r="G63" s="5"/>
      <c r="H63" s="5"/>
      <c r="I63" s="5"/>
      <c r="J63" s="5"/>
      <c r="K63" s="5"/>
      <c r="L63" s="5"/>
      <c r="M63" s="5"/>
    </row>
    <row r="64" s="3" customFormat="1" ht="18" customHeight="1">
      <c r="A64" s="3" t="s">
        <v>182</v>
      </c>
    </row>
    <row r="65" s="3" customFormat="1" ht="18" customHeight="1">
      <c r="A65" s="3" t="s">
        <v>102</v>
      </c>
    </row>
    <row r="66" ht="18.75" customHeight="1">
      <c r="P66" s="5" t="s">
        <v>183</v>
      </c>
    </row>
    <row r="67" spans="1:16" ht="21" customHeight="1">
      <c r="A67" s="44" t="s">
        <v>100</v>
      </c>
      <c r="B67" s="17"/>
      <c r="C67" s="18" t="s">
        <v>0</v>
      </c>
      <c r="D67" s="18"/>
      <c r="E67" s="19" t="s">
        <v>1</v>
      </c>
      <c r="F67" s="18"/>
      <c r="G67" s="19" t="s">
        <v>2</v>
      </c>
      <c r="H67" s="19"/>
      <c r="I67" s="19" t="s">
        <v>3</v>
      </c>
      <c r="J67" s="18"/>
      <c r="K67" s="19" t="s">
        <v>4</v>
      </c>
      <c r="L67" s="18"/>
      <c r="M67" s="19" t="s">
        <v>5</v>
      </c>
      <c r="N67" s="18"/>
      <c r="O67" s="18"/>
      <c r="P67" s="44" t="s">
        <v>101</v>
      </c>
    </row>
    <row r="68" spans="1:16" ht="21" customHeight="1">
      <c r="A68" s="45"/>
      <c r="B68" s="20"/>
      <c r="C68" s="21" t="s">
        <v>6</v>
      </c>
      <c r="D68" s="22"/>
      <c r="E68" s="21" t="s">
        <v>7</v>
      </c>
      <c r="F68" s="22"/>
      <c r="G68" s="21" t="s">
        <v>8</v>
      </c>
      <c r="H68" s="21"/>
      <c r="I68" s="21" t="s">
        <v>9</v>
      </c>
      <c r="J68" s="22"/>
      <c r="K68" s="21" t="s">
        <v>10</v>
      </c>
      <c r="L68" s="22"/>
      <c r="M68" s="21" t="s">
        <v>11</v>
      </c>
      <c r="N68" s="22"/>
      <c r="O68" s="22"/>
      <c r="P68" s="45"/>
    </row>
    <row r="69" spans="1:16" ht="21" customHeight="1">
      <c r="A69" s="45"/>
      <c r="B69" s="20"/>
      <c r="C69" s="21" t="s">
        <v>12</v>
      </c>
      <c r="D69" s="22"/>
      <c r="E69" s="21" t="s">
        <v>13</v>
      </c>
      <c r="F69" s="22"/>
      <c r="G69" s="21" t="s">
        <v>14</v>
      </c>
      <c r="H69" s="21"/>
      <c r="I69" s="21" t="s">
        <v>15</v>
      </c>
      <c r="J69" s="22"/>
      <c r="K69" s="21" t="s">
        <v>0</v>
      </c>
      <c r="L69" s="22"/>
      <c r="M69" s="21" t="s">
        <v>16</v>
      </c>
      <c r="N69" s="22"/>
      <c r="O69" s="22"/>
      <c r="P69" s="45"/>
    </row>
    <row r="70" spans="1:16" ht="21" customHeight="1">
      <c r="A70" s="46"/>
      <c r="B70" s="23"/>
      <c r="C70" s="6" t="s">
        <v>0</v>
      </c>
      <c r="D70" s="6"/>
      <c r="E70" s="24" t="s">
        <v>17</v>
      </c>
      <c r="F70" s="6"/>
      <c r="G70" s="24" t="s">
        <v>18</v>
      </c>
      <c r="H70" s="24"/>
      <c r="I70" s="24" t="s">
        <v>19</v>
      </c>
      <c r="J70" s="6"/>
      <c r="K70" s="6" t="s">
        <v>0</v>
      </c>
      <c r="L70" s="6"/>
      <c r="M70" s="24" t="s">
        <v>0</v>
      </c>
      <c r="N70" s="6"/>
      <c r="O70" s="6"/>
      <c r="P70" s="46"/>
    </row>
    <row r="71" spans="1:16" s="3" customFormat="1" ht="21.75">
      <c r="A71" s="10" t="s">
        <v>147</v>
      </c>
      <c r="C71" s="14">
        <f>427690.3/1000</f>
        <v>427.6903</v>
      </c>
      <c r="D71" s="15"/>
      <c r="E71" s="14">
        <f>341547.83/1000</f>
        <v>341.54783000000003</v>
      </c>
      <c r="F71" s="15"/>
      <c r="G71" s="14">
        <f>37856.11/1000</f>
        <v>37.85611</v>
      </c>
      <c r="H71" s="15"/>
      <c r="I71" s="14">
        <f>19281.32/1000</f>
        <v>19.28132</v>
      </c>
      <c r="J71" s="15"/>
      <c r="K71" s="14">
        <f>14348.4/1000</f>
        <v>14.3484</v>
      </c>
      <c r="L71" s="15"/>
      <c r="M71" s="14">
        <f>14656.65/1000</f>
        <v>14.656649999999999</v>
      </c>
      <c r="N71" s="16"/>
      <c r="O71" s="16"/>
      <c r="P71" s="3" t="s">
        <v>65</v>
      </c>
    </row>
    <row r="72" spans="1:16" ht="21.75">
      <c r="A72" s="11" t="s">
        <v>148</v>
      </c>
      <c r="C72" s="12">
        <f>28215.5/1000</f>
        <v>28.2155</v>
      </c>
      <c r="D72" s="4"/>
      <c r="E72" s="12">
        <f>18408.31/1000</f>
        <v>18.40831</v>
      </c>
      <c r="F72" s="4"/>
      <c r="G72" s="12">
        <f>7141.84/1000</f>
        <v>7.14184</v>
      </c>
      <c r="H72" s="4"/>
      <c r="I72" s="12">
        <f>1099.17/1000</f>
        <v>1.09917</v>
      </c>
      <c r="J72" s="4"/>
      <c r="K72" s="12">
        <f>842.52/1000</f>
        <v>0.8425199999999999</v>
      </c>
      <c r="L72" s="5"/>
      <c r="M72" s="12">
        <f>723.66/1000</f>
        <v>0.72366</v>
      </c>
      <c r="P72" s="1" t="s">
        <v>66</v>
      </c>
    </row>
    <row r="73" spans="1:16" ht="21.75">
      <c r="A73" s="11" t="s">
        <v>149</v>
      </c>
      <c r="C73" s="12">
        <f>4294.58/1000</f>
        <v>4.29458</v>
      </c>
      <c r="D73" s="4"/>
      <c r="E73" s="12">
        <f>1731.5/1000</f>
        <v>1.7315</v>
      </c>
      <c r="F73" s="4"/>
      <c r="G73" s="12">
        <f>1353/1000</f>
        <v>1.353</v>
      </c>
      <c r="H73" s="4"/>
      <c r="I73" s="12">
        <f>140.08/1000</f>
        <v>0.14008</v>
      </c>
      <c r="J73" s="5"/>
      <c r="K73" s="12">
        <f>1070/1000</f>
        <v>1.07</v>
      </c>
      <c r="L73" s="4"/>
      <c r="M73" s="12" t="s">
        <v>22</v>
      </c>
      <c r="P73" s="1" t="s">
        <v>67</v>
      </c>
    </row>
    <row r="74" spans="1:16" ht="21.75">
      <c r="A74" s="11" t="s">
        <v>150</v>
      </c>
      <c r="C74" s="12">
        <f>12959.61/1000</f>
        <v>12.959610000000001</v>
      </c>
      <c r="D74" s="4"/>
      <c r="E74" s="12">
        <f>7474.56/1000</f>
        <v>7.47456</v>
      </c>
      <c r="F74" s="4"/>
      <c r="G74" s="12">
        <f>614.49/1000</f>
        <v>0.61449</v>
      </c>
      <c r="H74" s="5"/>
      <c r="I74" s="12">
        <f>3596.98/1000</f>
        <v>3.59698</v>
      </c>
      <c r="J74" s="4"/>
      <c r="K74" s="12">
        <f>1271.91/1000</f>
        <v>1.27191</v>
      </c>
      <c r="L74" s="4"/>
      <c r="M74" s="12">
        <f>1.68/1000</f>
        <v>0.0016799999999999999</v>
      </c>
      <c r="P74" s="1" t="s">
        <v>68</v>
      </c>
    </row>
    <row r="75" spans="1:16" ht="21.75">
      <c r="A75" s="11" t="s">
        <v>151</v>
      </c>
      <c r="C75" s="12">
        <f>5724.93/1000</f>
        <v>5.7249300000000005</v>
      </c>
      <c r="D75" s="4"/>
      <c r="E75" s="12">
        <f>4545.63/1000</f>
        <v>4.54563</v>
      </c>
      <c r="F75" s="4"/>
      <c r="G75" s="12">
        <f>759.57/1000</f>
        <v>0.7595700000000001</v>
      </c>
      <c r="H75" s="5"/>
      <c r="I75" s="12">
        <f>125.75/1000</f>
        <v>0.12575</v>
      </c>
      <c r="J75" s="5"/>
      <c r="K75" s="12">
        <f>293.98/1000</f>
        <v>0.29398</v>
      </c>
      <c r="L75" s="5"/>
      <c r="M75" s="12" t="s">
        <v>22</v>
      </c>
      <c r="P75" s="1" t="s">
        <v>69</v>
      </c>
    </row>
    <row r="76" spans="1:16" ht="21.75">
      <c r="A76" s="11" t="s">
        <v>152</v>
      </c>
      <c r="C76" s="12">
        <f>39548.41/1000</f>
        <v>39.548410000000004</v>
      </c>
      <c r="D76" s="4"/>
      <c r="E76" s="12">
        <f>25962.29/1000</f>
        <v>25.96229</v>
      </c>
      <c r="F76" s="4"/>
      <c r="G76" s="12">
        <f>8036.15/1000</f>
        <v>8.03615</v>
      </c>
      <c r="H76" s="4"/>
      <c r="I76" s="12">
        <f>1327.69/1000</f>
        <v>1.32769</v>
      </c>
      <c r="J76" s="4"/>
      <c r="K76" s="12">
        <f>2017.74/1000</f>
        <v>2.01774</v>
      </c>
      <c r="L76" s="4"/>
      <c r="M76" s="12">
        <f>2204.54/1000</f>
        <v>2.20454</v>
      </c>
      <c r="N76" s="2"/>
      <c r="O76" s="2"/>
      <c r="P76" s="1" t="s">
        <v>70</v>
      </c>
    </row>
    <row r="77" spans="1:16" ht="21.75">
      <c r="A77" s="11" t="s">
        <v>153</v>
      </c>
      <c r="C77" s="12">
        <f>8558.59/1000</f>
        <v>8.55859</v>
      </c>
      <c r="D77" s="4"/>
      <c r="E77" s="12">
        <f>5913.02/1000</f>
        <v>5.91302</v>
      </c>
      <c r="F77" s="4"/>
      <c r="G77" s="12">
        <f>2485.08/1000</f>
        <v>2.48508</v>
      </c>
      <c r="H77" s="4"/>
      <c r="I77" s="12">
        <f>105.15/1000</f>
        <v>0.10515000000000001</v>
      </c>
      <c r="J77" s="5"/>
      <c r="K77" s="12">
        <f>55.33/1000</f>
        <v>0.05533</v>
      </c>
      <c r="L77" s="5"/>
      <c r="M77" s="12" t="s">
        <v>22</v>
      </c>
      <c r="P77" s="1" t="s">
        <v>71</v>
      </c>
    </row>
    <row r="78" spans="1:16" ht="21.75">
      <c r="A78" s="11" t="s">
        <v>154</v>
      </c>
      <c r="C78" s="12">
        <f>8743.29/1000</f>
        <v>8.74329</v>
      </c>
      <c r="D78" s="4"/>
      <c r="E78" s="12">
        <f>7661.24/1000</f>
        <v>7.661239999999999</v>
      </c>
      <c r="F78" s="4"/>
      <c r="G78" s="12">
        <f>673.19/1000</f>
        <v>0.6731900000000001</v>
      </c>
      <c r="H78" s="5"/>
      <c r="I78" s="12">
        <f>66.51/1000</f>
        <v>0.06651</v>
      </c>
      <c r="J78" s="5"/>
      <c r="K78" s="12">
        <f>342.35/1000</f>
        <v>0.34235000000000004</v>
      </c>
      <c r="L78" s="5"/>
      <c r="M78" s="12" t="s">
        <v>22</v>
      </c>
      <c r="P78" s="1" t="s">
        <v>72</v>
      </c>
    </row>
    <row r="79" spans="1:16" ht="21.75">
      <c r="A79" s="11" t="s">
        <v>155</v>
      </c>
      <c r="C79" s="12">
        <f>2483.5/1000</f>
        <v>2.4835</v>
      </c>
      <c r="D79" s="4"/>
      <c r="E79" s="12">
        <f>1580/1000</f>
        <v>1.58</v>
      </c>
      <c r="F79" s="4"/>
      <c r="G79" s="12">
        <f>363.5/1000</f>
        <v>0.3635</v>
      </c>
      <c r="H79" s="5"/>
      <c r="I79" s="12">
        <f>135/1000</f>
        <v>0.135</v>
      </c>
      <c r="J79" s="5"/>
      <c r="K79" s="12">
        <f>405/1000</f>
        <v>0.405</v>
      </c>
      <c r="L79" s="5"/>
      <c r="M79" s="12" t="s">
        <v>22</v>
      </c>
      <c r="P79" s="1" t="s">
        <v>73</v>
      </c>
    </row>
    <row r="80" spans="1:16" ht="21.75">
      <c r="A80" s="11" t="s">
        <v>156</v>
      </c>
      <c r="C80" s="12">
        <f>737.52/1000</f>
        <v>0.73752</v>
      </c>
      <c r="D80" s="5"/>
      <c r="E80" s="12">
        <f>543.2/1000</f>
        <v>0.5432</v>
      </c>
      <c r="F80" s="5"/>
      <c r="G80" s="12">
        <f>47.32/1000</f>
        <v>0.04732</v>
      </c>
      <c r="H80" s="5"/>
      <c r="I80" s="12">
        <f>4.2/1000</f>
        <v>0.004200000000000001</v>
      </c>
      <c r="J80" s="5"/>
      <c r="K80" s="12">
        <f>142.8/1000</f>
        <v>0.1428</v>
      </c>
      <c r="L80" s="5"/>
      <c r="M80" s="12" t="s">
        <v>22</v>
      </c>
      <c r="P80" s="1" t="s">
        <v>74</v>
      </c>
    </row>
    <row r="81" spans="1:16" ht="21.75">
      <c r="A81" s="11" t="s">
        <v>157</v>
      </c>
      <c r="C81" s="12">
        <f>22778.38/1000</f>
        <v>22.778380000000002</v>
      </c>
      <c r="D81" s="4"/>
      <c r="E81" s="12">
        <f>18524.58/1000</f>
        <v>18.52458</v>
      </c>
      <c r="F81" s="4"/>
      <c r="G81" s="12">
        <f>1901.57/1000</f>
        <v>1.90157</v>
      </c>
      <c r="H81" s="4"/>
      <c r="I81" s="12">
        <f>708.88/1000</f>
        <v>0.70888</v>
      </c>
      <c r="J81" s="5"/>
      <c r="K81" s="12">
        <f>1643.34/1000</f>
        <v>1.64334</v>
      </c>
      <c r="L81" s="4"/>
      <c r="M81" s="12" t="s">
        <v>22</v>
      </c>
      <c r="P81" s="1" t="s">
        <v>75</v>
      </c>
    </row>
    <row r="82" spans="1:16" ht="21.75">
      <c r="A82" s="11" t="s">
        <v>158</v>
      </c>
      <c r="C82" s="12">
        <f>67347.95/1000</f>
        <v>67.34795</v>
      </c>
      <c r="D82" s="4"/>
      <c r="E82" s="12">
        <f>49039.47/1000</f>
        <v>49.03947</v>
      </c>
      <c r="F82" s="4"/>
      <c r="G82" s="12">
        <f>7483.71/1000</f>
        <v>7.48371</v>
      </c>
      <c r="H82" s="4"/>
      <c r="I82" s="12">
        <f>1027.29/1000</f>
        <v>1.02729</v>
      </c>
      <c r="J82" s="4"/>
      <c r="K82" s="12">
        <f>1320.38/1000</f>
        <v>1.32038</v>
      </c>
      <c r="L82" s="4"/>
      <c r="M82" s="12">
        <f>8477.11/1000</f>
        <v>8.47711</v>
      </c>
      <c r="N82" s="2"/>
      <c r="O82" s="2"/>
      <c r="P82" s="1" t="s">
        <v>76</v>
      </c>
    </row>
    <row r="83" spans="1:16" ht="21.75">
      <c r="A83" s="11" t="s">
        <v>159</v>
      </c>
      <c r="C83" s="12">
        <f>3407/1000</f>
        <v>3.407</v>
      </c>
      <c r="D83" s="4"/>
      <c r="E83" s="12">
        <f>3170/1000</f>
        <v>3.17</v>
      </c>
      <c r="F83" s="4"/>
      <c r="G83" s="12" t="s">
        <v>22</v>
      </c>
      <c r="H83" s="5"/>
      <c r="I83" s="12">
        <f>30/1000</f>
        <v>0.03</v>
      </c>
      <c r="J83" s="5"/>
      <c r="K83" s="12">
        <f>207/1000</f>
        <v>0.207</v>
      </c>
      <c r="L83" s="5"/>
      <c r="M83" s="12" t="s">
        <v>22</v>
      </c>
      <c r="P83" s="1" t="s">
        <v>77</v>
      </c>
    </row>
    <row r="84" spans="1:16" ht="21.75">
      <c r="A84" s="11" t="s">
        <v>160</v>
      </c>
      <c r="C84" s="12">
        <f>27802.54/1000</f>
        <v>27.80254</v>
      </c>
      <c r="D84" s="4"/>
      <c r="E84" s="12">
        <f>24584.27/1000</f>
        <v>24.58427</v>
      </c>
      <c r="F84" s="4"/>
      <c r="G84" s="12">
        <f>142.41/1000</f>
        <v>0.14241</v>
      </c>
      <c r="H84" s="5"/>
      <c r="I84" s="12">
        <f>807.26/1000</f>
        <v>0.80726</v>
      </c>
      <c r="J84" s="5"/>
      <c r="K84" s="12">
        <f>1995.8/1000</f>
        <v>1.9958</v>
      </c>
      <c r="L84" s="4"/>
      <c r="M84" s="12">
        <f>272.8/1000</f>
        <v>0.2728</v>
      </c>
      <c r="P84" s="1" t="s">
        <v>78</v>
      </c>
    </row>
    <row r="85" spans="1:16" ht="21.75">
      <c r="A85" s="11" t="s">
        <v>161</v>
      </c>
      <c r="C85" s="12">
        <f>3068.2/1000</f>
        <v>3.0682</v>
      </c>
      <c r="D85" s="4"/>
      <c r="E85" s="12">
        <f>754.28/1000</f>
        <v>0.75428</v>
      </c>
      <c r="F85" s="5"/>
      <c r="G85" s="12">
        <f>207.2/1000</f>
        <v>0.2072</v>
      </c>
      <c r="H85" s="5"/>
      <c r="I85" s="12">
        <f>1810.38/1000</f>
        <v>1.81038</v>
      </c>
      <c r="J85" s="4"/>
      <c r="K85" s="12">
        <f>296.35/1000</f>
        <v>0.29635</v>
      </c>
      <c r="L85" s="5"/>
      <c r="M85" s="12" t="s">
        <v>22</v>
      </c>
      <c r="P85" s="1" t="s">
        <v>79</v>
      </c>
    </row>
    <row r="86" spans="1:16" ht="21.75">
      <c r="A86" s="11" t="s">
        <v>162</v>
      </c>
      <c r="C86" s="12">
        <f>12122.09/1000</f>
        <v>12.12209</v>
      </c>
      <c r="D86" s="4"/>
      <c r="E86" s="12">
        <f>10388.53/1000</f>
        <v>10.388530000000001</v>
      </c>
      <c r="F86" s="4"/>
      <c r="G86" s="12">
        <f>301.41/1000</f>
        <v>0.30141</v>
      </c>
      <c r="H86" s="5"/>
      <c r="I86" s="12">
        <f>100.52/1000</f>
        <v>0.10052</v>
      </c>
      <c r="J86" s="5"/>
      <c r="K86" s="12">
        <f>331.64/1000</f>
        <v>0.33164</v>
      </c>
      <c r="L86" s="5"/>
      <c r="M86" s="12">
        <f>1000/1000</f>
        <v>1</v>
      </c>
      <c r="N86" s="2"/>
      <c r="O86" s="2"/>
      <c r="P86" s="1" t="s">
        <v>80</v>
      </c>
    </row>
    <row r="87" spans="1:16" ht="21.75">
      <c r="A87" s="11" t="s">
        <v>163</v>
      </c>
      <c r="C87" s="12">
        <f>29816/1000</f>
        <v>29.816</v>
      </c>
      <c r="D87" s="4"/>
      <c r="E87" s="12">
        <f>24115.69/1000</f>
        <v>24.115689999999997</v>
      </c>
      <c r="F87" s="4"/>
      <c r="G87" s="12">
        <f>2.95/1000</f>
        <v>0.0029500000000000004</v>
      </c>
      <c r="H87" s="5"/>
      <c r="I87" s="12">
        <f>5135.26/1000</f>
        <v>5.135260000000001</v>
      </c>
      <c r="J87" s="4"/>
      <c r="K87" s="12">
        <f>12.73/1000</f>
        <v>0.01273</v>
      </c>
      <c r="L87" s="5"/>
      <c r="M87" s="12">
        <f>549.38/1000</f>
        <v>0.54938</v>
      </c>
      <c r="P87" s="1" t="s">
        <v>81</v>
      </c>
    </row>
    <row r="88" spans="1:16" ht="21.75">
      <c r="A88" s="11" t="s">
        <v>164</v>
      </c>
      <c r="C88" s="12">
        <f>37814.08/1000</f>
        <v>37.814080000000004</v>
      </c>
      <c r="D88" s="4"/>
      <c r="E88" s="12">
        <f>34618.98/1000</f>
        <v>34.61898</v>
      </c>
      <c r="F88" s="4"/>
      <c r="G88" s="12">
        <f>1173.72/1000</f>
        <v>1.17372</v>
      </c>
      <c r="H88" s="4"/>
      <c r="I88" s="12">
        <f>909/1000</f>
        <v>0.909</v>
      </c>
      <c r="J88" s="5"/>
      <c r="K88" s="12">
        <f>1112.38/1000</f>
        <v>1.1123800000000001</v>
      </c>
      <c r="L88" s="4"/>
      <c r="M88" s="12" t="s">
        <v>22</v>
      </c>
      <c r="P88" s="1" t="s">
        <v>82</v>
      </c>
    </row>
    <row r="89" spans="1:16" ht="21.75">
      <c r="A89" s="11" t="s">
        <v>165</v>
      </c>
      <c r="C89" s="12">
        <f>21369.82/1000</f>
        <v>21.36982</v>
      </c>
      <c r="D89" s="4"/>
      <c r="E89" s="12">
        <f>18120/1000</f>
        <v>18.12</v>
      </c>
      <c r="F89" s="4"/>
      <c r="G89" s="12">
        <f>2160.5/1000</f>
        <v>2.1605</v>
      </c>
      <c r="H89" s="4"/>
      <c r="I89" s="12">
        <f>552.15/1000</f>
        <v>0.55215</v>
      </c>
      <c r="J89" s="5"/>
      <c r="K89" s="12">
        <f>537.17/1000</f>
        <v>0.5371699999999999</v>
      </c>
      <c r="L89" s="5"/>
      <c r="M89" s="12" t="s">
        <v>22</v>
      </c>
      <c r="P89" s="1" t="s">
        <v>83</v>
      </c>
    </row>
    <row r="90" spans="1:16" ht="21.75">
      <c r="A90" s="11" t="s">
        <v>166</v>
      </c>
      <c r="C90" s="12">
        <f>90898.32/1000</f>
        <v>90.89832000000001</v>
      </c>
      <c r="D90" s="4"/>
      <c r="E90" s="12">
        <f>84412.29/1000</f>
        <v>84.41229</v>
      </c>
      <c r="F90" s="4"/>
      <c r="G90" s="12">
        <f>3008.5/1000</f>
        <v>3.0085</v>
      </c>
      <c r="H90" s="4"/>
      <c r="I90" s="12">
        <f>1600.07/1000</f>
        <v>1.6000699999999999</v>
      </c>
      <c r="J90" s="4"/>
      <c r="K90" s="12">
        <f>449.98/1000</f>
        <v>0.44998</v>
      </c>
      <c r="L90" s="5"/>
      <c r="M90" s="12">
        <f>1427.49/1000</f>
        <v>1.42749</v>
      </c>
      <c r="N90" s="2"/>
      <c r="O90" s="2"/>
      <c r="P90" s="1" t="s">
        <v>84</v>
      </c>
    </row>
    <row r="91" spans="1:16" ht="9.75" customHeight="1">
      <c r="A91" s="6"/>
      <c r="B91" s="6"/>
      <c r="C91" s="7"/>
      <c r="D91" s="7"/>
      <c r="E91" s="7"/>
      <c r="F91" s="7"/>
      <c r="G91" s="7"/>
      <c r="H91" s="7"/>
      <c r="I91" s="7"/>
      <c r="J91" s="7"/>
      <c r="K91" s="9"/>
      <c r="L91" s="9"/>
      <c r="M91" s="7"/>
      <c r="N91" s="8"/>
      <c r="O91" s="8"/>
      <c r="P91" s="6"/>
    </row>
    <row r="92" s="3" customFormat="1" ht="21" customHeight="1">
      <c r="A92" s="3" t="s">
        <v>182</v>
      </c>
    </row>
    <row r="93" s="3" customFormat="1" ht="21" customHeight="1">
      <c r="A93" s="3" t="s">
        <v>102</v>
      </c>
    </row>
    <row r="94" ht="18.75" customHeight="1">
      <c r="P94" s="5" t="s">
        <v>183</v>
      </c>
    </row>
    <row r="95" spans="1:16" ht="21" customHeight="1">
      <c r="A95" s="44" t="s">
        <v>100</v>
      </c>
      <c r="B95" s="17"/>
      <c r="C95" s="18" t="s">
        <v>0</v>
      </c>
      <c r="D95" s="18"/>
      <c r="E95" s="19" t="s">
        <v>1</v>
      </c>
      <c r="F95" s="18"/>
      <c r="G95" s="19" t="s">
        <v>2</v>
      </c>
      <c r="H95" s="19"/>
      <c r="I95" s="19" t="s">
        <v>3</v>
      </c>
      <c r="J95" s="18"/>
      <c r="K95" s="19" t="s">
        <v>4</v>
      </c>
      <c r="L95" s="18"/>
      <c r="M95" s="19" t="s">
        <v>5</v>
      </c>
      <c r="N95" s="18"/>
      <c r="O95" s="18"/>
      <c r="P95" s="44" t="s">
        <v>101</v>
      </c>
    </row>
    <row r="96" spans="1:16" ht="21" customHeight="1">
      <c r="A96" s="45"/>
      <c r="B96" s="20"/>
      <c r="C96" s="21" t="s">
        <v>6</v>
      </c>
      <c r="D96" s="22"/>
      <c r="E96" s="21" t="s">
        <v>7</v>
      </c>
      <c r="F96" s="22"/>
      <c r="G96" s="21" t="s">
        <v>8</v>
      </c>
      <c r="H96" s="21"/>
      <c r="I96" s="21" t="s">
        <v>9</v>
      </c>
      <c r="J96" s="22"/>
      <c r="K96" s="21" t="s">
        <v>10</v>
      </c>
      <c r="L96" s="22"/>
      <c r="M96" s="21" t="s">
        <v>11</v>
      </c>
      <c r="N96" s="22"/>
      <c r="O96" s="22"/>
      <c r="P96" s="45"/>
    </row>
    <row r="97" spans="1:16" ht="21" customHeight="1">
      <c r="A97" s="45"/>
      <c r="B97" s="20"/>
      <c r="C97" s="21" t="s">
        <v>12</v>
      </c>
      <c r="D97" s="22"/>
      <c r="E97" s="21" t="s">
        <v>13</v>
      </c>
      <c r="F97" s="22"/>
      <c r="G97" s="21" t="s">
        <v>14</v>
      </c>
      <c r="H97" s="21"/>
      <c r="I97" s="21" t="s">
        <v>15</v>
      </c>
      <c r="J97" s="22"/>
      <c r="K97" s="21" t="s">
        <v>0</v>
      </c>
      <c r="L97" s="22"/>
      <c r="M97" s="21" t="s">
        <v>16</v>
      </c>
      <c r="N97" s="22"/>
      <c r="O97" s="22"/>
      <c r="P97" s="45"/>
    </row>
    <row r="98" spans="1:16" ht="21" customHeight="1">
      <c r="A98" s="46"/>
      <c r="B98" s="23"/>
      <c r="C98" s="6" t="s">
        <v>0</v>
      </c>
      <c r="D98" s="6"/>
      <c r="E98" s="24" t="s">
        <v>17</v>
      </c>
      <c r="F98" s="6"/>
      <c r="G98" s="24" t="s">
        <v>18</v>
      </c>
      <c r="H98" s="24"/>
      <c r="I98" s="24" t="s">
        <v>19</v>
      </c>
      <c r="J98" s="6"/>
      <c r="K98" s="6" t="s">
        <v>0</v>
      </c>
      <c r="L98" s="6"/>
      <c r="M98" s="24" t="s">
        <v>0</v>
      </c>
      <c r="N98" s="6"/>
      <c r="O98" s="6"/>
      <c r="P98" s="46"/>
    </row>
    <row r="99" spans="1:16" s="3" customFormat="1" ht="21.75">
      <c r="A99" s="10" t="s">
        <v>167</v>
      </c>
      <c r="C99" s="14">
        <f>1312576.77/1000</f>
        <v>1312.5767700000001</v>
      </c>
      <c r="D99" s="15"/>
      <c r="E99" s="14">
        <f>689889.27/1000</f>
        <v>689.88927</v>
      </c>
      <c r="F99" s="15"/>
      <c r="G99" s="14">
        <f>269590.94/1000</f>
        <v>269.59094</v>
      </c>
      <c r="H99" s="15"/>
      <c r="I99" s="14">
        <f>159046.6/1000</f>
        <v>159.0466</v>
      </c>
      <c r="J99" s="15"/>
      <c r="K99" s="14">
        <f>63465.14/1000</f>
        <v>63.46514</v>
      </c>
      <c r="L99" s="15"/>
      <c r="M99" s="14">
        <f>130584.83/1000</f>
        <v>130.58483</v>
      </c>
      <c r="N99" s="16"/>
      <c r="O99" s="16"/>
      <c r="P99" s="3" t="s">
        <v>85</v>
      </c>
    </row>
    <row r="100" spans="1:16" ht="21.75">
      <c r="A100" s="11" t="s">
        <v>168</v>
      </c>
      <c r="C100" s="12">
        <f>16526.55/1000</f>
        <v>16.52655</v>
      </c>
      <c r="D100" s="4"/>
      <c r="E100" s="12">
        <f>10984.63/1000</f>
        <v>10.98463</v>
      </c>
      <c r="F100" s="4"/>
      <c r="G100" s="12">
        <f>2339.4/1000</f>
        <v>2.3394</v>
      </c>
      <c r="H100" s="4"/>
      <c r="I100" s="12">
        <f>688.56/1000</f>
        <v>0.68856</v>
      </c>
      <c r="J100" s="5"/>
      <c r="K100" s="12">
        <f>932.56/1000</f>
        <v>0.93256</v>
      </c>
      <c r="L100" s="5"/>
      <c r="M100" s="12">
        <f>1581.4/1000</f>
        <v>1.5814000000000001</v>
      </c>
      <c r="N100" s="2"/>
      <c r="O100" s="2"/>
      <c r="P100" s="1" t="s">
        <v>86</v>
      </c>
    </row>
    <row r="101" spans="1:16" ht="21.75">
      <c r="A101" s="11" t="s">
        <v>169</v>
      </c>
      <c r="C101" s="12">
        <f>236046.24/1000</f>
        <v>236.04623999999998</v>
      </c>
      <c r="D101" s="4"/>
      <c r="E101" s="12">
        <f>104097.6/1000</f>
        <v>104.0976</v>
      </c>
      <c r="F101" s="4"/>
      <c r="G101" s="12">
        <f>55827.51/1000</f>
        <v>55.827510000000004</v>
      </c>
      <c r="H101" s="4"/>
      <c r="I101" s="12">
        <f>49997.04/1000</f>
        <v>49.99704</v>
      </c>
      <c r="J101" s="4"/>
      <c r="K101" s="12">
        <f>13699.59/1000</f>
        <v>13.69959</v>
      </c>
      <c r="L101" s="4"/>
      <c r="M101" s="12">
        <f>12424.51/1000</f>
        <v>12.42451</v>
      </c>
      <c r="N101" s="2"/>
      <c r="O101" s="2"/>
      <c r="P101" s="1" t="s">
        <v>87</v>
      </c>
    </row>
    <row r="102" spans="1:16" ht="21.75">
      <c r="A102" s="11" t="s">
        <v>170</v>
      </c>
      <c r="C102" s="12">
        <f>12328.14/1000</f>
        <v>12.32814</v>
      </c>
      <c r="D102" s="4"/>
      <c r="E102" s="12">
        <f>3823.66/1000</f>
        <v>3.82366</v>
      </c>
      <c r="F102" s="4"/>
      <c r="G102" s="12">
        <f>2747/1000</f>
        <v>2.747</v>
      </c>
      <c r="H102" s="4"/>
      <c r="I102" s="12">
        <f>784.85/1000</f>
        <v>0.78485</v>
      </c>
      <c r="J102" s="5"/>
      <c r="K102" s="12">
        <f>1588.63/1000</f>
        <v>1.5886300000000002</v>
      </c>
      <c r="L102" s="4"/>
      <c r="M102" s="12">
        <f>3384/1000</f>
        <v>3.384</v>
      </c>
      <c r="N102" s="2"/>
      <c r="O102" s="2"/>
      <c r="P102" s="1" t="s">
        <v>88</v>
      </c>
    </row>
    <row r="103" spans="1:16" ht="21.75">
      <c r="A103" s="11" t="s">
        <v>171</v>
      </c>
      <c r="C103" s="12">
        <f>394839.97/1000</f>
        <v>394.83997</v>
      </c>
      <c r="D103" s="4"/>
      <c r="E103" s="12">
        <f>214615.21/1000</f>
        <v>214.61521</v>
      </c>
      <c r="F103" s="4"/>
      <c r="G103" s="12">
        <f>52839.36/1000</f>
        <v>52.83936</v>
      </c>
      <c r="H103" s="4"/>
      <c r="I103" s="12">
        <f>35069.68/1000</f>
        <v>35.06968</v>
      </c>
      <c r="J103" s="4"/>
      <c r="K103" s="12">
        <f>14833.39/1000</f>
        <v>14.83339</v>
      </c>
      <c r="L103" s="4"/>
      <c r="M103" s="12">
        <f>77482.33/1000</f>
        <v>77.48233</v>
      </c>
      <c r="N103" s="2"/>
      <c r="O103" s="2"/>
      <c r="P103" s="1" t="s">
        <v>89</v>
      </c>
    </row>
    <row r="104" spans="1:16" ht="21.75">
      <c r="A104" s="11" t="s">
        <v>172</v>
      </c>
      <c r="C104" s="12">
        <f>336011.44/1000</f>
        <v>336.01144</v>
      </c>
      <c r="D104" s="4"/>
      <c r="E104" s="12">
        <f>172651.91/1000</f>
        <v>172.65191000000002</v>
      </c>
      <c r="F104" s="4"/>
      <c r="G104" s="12">
        <f>66040.8/1000</f>
        <v>66.0408</v>
      </c>
      <c r="H104" s="4"/>
      <c r="I104" s="12">
        <f>57406.46/1000</f>
        <v>57.406459999999996</v>
      </c>
      <c r="J104" s="4"/>
      <c r="K104" s="12">
        <f>22849.36/1000</f>
        <v>22.84936</v>
      </c>
      <c r="L104" s="4"/>
      <c r="M104" s="12">
        <f>17062.91/1000</f>
        <v>17.06291</v>
      </c>
      <c r="N104" s="2"/>
      <c r="O104" s="2"/>
      <c r="P104" s="1" t="s">
        <v>90</v>
      </c>
    </row>
    <row r="105" spans="1:16" ht="21.75">
      <c r="A105" s="11" t="s">
        <v>173</v>
      </c>
      <c r="C105" s="12">
        <f>21726.52/1000</f>
        <v>21.72652</v>
      </c>
      <c r="D105" s="4"/>
      <c r="E105" s="12">
        <f>14335.92/1000</f>
        <v>14.33592</v>
      </c>
      <c r="F105" s="4"/>
      <c r="G105" s="12">
        <f>5390.74/1000</f>
        <v>5.39074</v>
      </c>
      <c r="H105" s="4"/>
      <c r="I105" s="12">
        <f>1270.77/1000</f>
        <v>1.27077</v>
      </c>
      <c r="J105" s="4"/>
      <c r="K105" s="12">
        <f>727.59/1000</f>
        <v>0.7275900000000001</v>
      </c>
      <c r="L105" s="5"/>
      <c r="M105" s="12">
        <f>1.5/1000</f>
        <v>0.0015</v>
      </c>
      <c r="P105" s="1" t="s">
        <v>91</v>
      </c>
    </row>
    <row r="106" spans="1:16" ht="21.75">
      <c r="A106" s="11" t="s">
        <v>174</v>
      </c>
      <c r="C106" s="12">
        <f>13502.94/1000</f>
        <v>13.50294</v>
      </c>
      <c r="D106" s="4"/>
      <c r="E106" s="12">
        <f>11053.26/1000</f>
        <v>11.05326</v>
      </c>
      <c r="F106" s="4"/>
      <c r="G106" s="12">
        <f>1892.36/1000</f>
        <v>1.8923599999999998</v>
      </c>
      <c r="H106" s="4"/>
      <c r="I106" s="12">
        <f>124.68/1000</f>
        <v>0.12468000000000001</v>
      </c>
      <c r="J106" s="5"/>
      <c r="K106" s="12">
        <f>252.54/1000</f>
        <v>0.25254</v>
      </c>
      <c r="L106" s="5"/>
      <c r="M106" s="12">
        <f>180.1/1000</f>
        <v>0.18009999999999998</v>
      </c>
      <c r="P106" s="1" t="s">
        <v>92</v>
      </c>
    </row>
    <row r="107" spans="1:16" ht="21.75">
      <c r="A107" s="11" t="s">
        <v>175</v>
      </c>
      <c r="C107" s="12">
        <f>132223.15/1000</f>
        <v>132.22315</v>
      </c>
      <c r="D107" s="4"/>
      <c r="E107" s="12">
        <f>91469.42/1000</f>
        <v>91.46942</v>
      </c>
      <c r="F107" s="4"/>
      <c r="G107" s="12">
        <f>10368.25/1000</f>
        <v>10.36825</v>
      </c>
      <c r="H107" s="4"/>
      <c r="I107" s="12">
        <f>7974.56/1000</f>
        <v>7.97456</v>
      </c>
      <c r="J107" s="4"/>
      <c r="K107" s="12">
        <f>5198.35/1000</f>
        <v>5.1983500000000005</v>
      </c>
      <c r="L107" s="4"/>
      <c r="M107" s="12">
        <f>17212.57/1000</f>
        <v>17.21257</v>
      </c>
      <c r="N107" s="2"/>
      <c r="O107" s="2"/>
      <c r="P107" s="1" t="s">
        <v>93</v>
      </c>
    </row>
    <row r="108" spans="1:16" ht="21.75">
      <c r="A108" s="11" t="s">
        <v>176</v>
      </c>
      <c r="C108" s="12">
        <f>5231.93/1000</f>
        <v>5.23193</v>
      </c>
      <c r="D108" s="4"/>
      <c r="E108" s="12">
        <f>3332.49/1000</f>
        <v>3.33249</v>
      </c>
      <c r="F108" s="4"/>
      <c r="G108" s="12">
        <f>1177.32/1000</f>
        <v>1.17732</v>
      </c>
      <c r="H108" s="4"/>
      <c r="I108" s="12">
        <f>44/1000</f>
        <v>0.044</v>
      </c>
      <c r="J108" s="5"/>
      <c r="K108" s="12">
        <f>671.62/1000</f>
        <v>0.67162</v>
      </c>
      <c r="L108" s="5"/>
      <c r="M108" s="12">
        <f>6.5/1000</f>
        <v>0.0065</v>
      </c>
      <c r="P108" s="1" t="s">
        <v>94</v>
      </c>
    </row>
    <row r="109" spans="1:16" ht="21.75">
      <c r="A109" s="11" t="s">
        <v>177</v>
      </c>
      <c r="C109" s="12">
        <f>75845.04/1000</f>
        <v>75.84504</v>
      </c>
      <c r="D109" s="4"/>
      <c r="E109" s="12">
        <f>22747.83/1000</f>
        <v>22.74783</v>
      </c>
      <c r="F109" s="4"/>
      <c r="G109" s="12">
        <f>49692.65/1000</f>
        <v>49.69265</v>
      </c>
      <c r="H109" s="4"/>
      <c r="I109" s="12">
        <f>2045.51/1000</f>
        <v>2.04551</v>
      </c>
      <c r="J109" s="4"/>
      <c r="K109" s="12">
        <f>242.65/1000</f>
        <v>0.24265</v>
      </c>
      <c r="L109" s="5"/>
      <c r="M109" s="12">
        <f>1116.41/1000</f>
        <v>1.1164100000000001</v>
      </c>
      <c r="N109" s="2"/>
      <c r="O109" s="2"/>
      <c r="P109" s="1" t="s">
        <v>95</v>
      </c>
    </row>
    <row r="110" spans="1:16" ht="21.75">
      <c r="A110" s="11" t="s">
        <v>178</v>
      </c>
      <c r="C110" s="12">
        <f>4643.42/1000</f>
        <v>4.64342</v>
      </c>
      <c r="D110" s="4"/>
      <c r="E110" s="12">
        <f>3660/1000</f>
        <v>3.66</v>
      </c>
      <c r="F110" s="4"/>
      <c r="G110" s="12">
        <f>262/1000</f>
        <v>0.262</v>
      </c>
      <c r="H110" s="5"/>
      <c r="I110" s="12">
        <f>673.5/1000</f>
        <v>0.6735</v>
      </c>
      <c r="J110" s="5"/>
      <c r="K110" s="12">
        <f>45/1000</f>
        <v>0.045</v>
      </c>
      <c r="L110" s="5"/>
      <c r="M110" s="12">
        <f>2.92/1000</f>
        <v>0.00292</v>
      </c>
      <c r="P110" s="1" t="s">
        <v>96</v>
      </c>
    </row>
    <row r="111" spans="1:16" ht="21.75">
      <c r="A111" s="11" t="s">
        <v>179</v>
      </c>
      <c r="C111" s="12">
        <f>1044.63/1000</f>
        <v>1.0446300000000002</v>
      </c>
      <c r="D111" s="4"/>
      <c r="E111" s="12">
        <f>782.33/1000</f>
        <v>0.7823300000000001</v>
      </c>
      <c r="F111" s="5"/>
      <c r="G111" s="12" t="s">
        <v>22</v>
      </c>
      <c r="H111" s="5"/>
      <c r="I111" s="12">
        <f>174.19/1000</f>
        <v>0.17419</v>
      </c>
      <c r="J111" s="5"/>
      <c r="K111" s="12">
        <f>88.11/1000</f>
        <v>0.08811</v>
      </c>
      <c r="L111" s="5"/>
      <c r="M111" s="12" t="s">
        <v>22</v>
      </c>
      <c r="P111" s="1" t="s">
        <v>97</v>
      </c>
    </row>
    <row r="112" spans="1:16" ht="21.75">
      <c r="A112" s="11" t="s">
        <v>180</v>
      </c>
      <c r="C112" s="12">
        <f>33738.27/1000</f>
        <v>33.73827</v>
      </c>
      <c r="D112" s="4"/>
      <c r="E112" s="12">
        <f>21547.99/1000</f>
        <v>21.547990000000002</v>
      </c>
      <c r="F112" s="4"/>
      <c r="G112" s="12">
        <f>9524.46/1000</f>
        <v>9.52446</v>
      </c>
      <c r="H112" s="4"/>
      <c r="I112" s="12">
        <f>1258.21/1000</f>
        <v>1.25821</v>
      </c>
      <c r="J112" s="4"/>
      <c r="K112" s="12">
        <f>1291.14/1000</f>
        <v>1.2911400000000002</v>
      </c>
      <c r="L112" s="4"/>
      <c r="M112" s="12">
        <f>116.49/1000</f>
        <v>0.11649</v>
      </c>
      <c r="P112" s="1" t="s">
        <v>98</v>
      </c>
    </row>
    <row r="113" spans="1:16" ht="21.75">
      <c r="A113" s="11" t="s">
        <v>181</v>
      </c>
      <c r="C113" s="12">
        <f>28868.54/1000</f>
        <v>28.86854</v>
      </c>
      <c r="D113" s="4"/>
      <c r="E113" s="12">
        <f>14787.04/1000</f>
        <v>14.787040000000001</v>
      </c>
      <c r="F113" s="4"/>
      <c r="G113" s="12">
        <f>11489.08/1000</f>
        <v>11.48908</v>
      </c>
      <c r="H113" s="4"/>
      <c r="I113" s="12">
        <f>1534.58/1000</f>
        <v>1.5345799999999998</v>
      </c>
      <c r="J113" s="4"/>
      <c r="K113" s="12">
        <f>1044.64/1000</f>
        <v>1.04464</v>
      </c>
      <c r="L113" s="4"/>
      <c r="M113" s="12">
        <f>13.2/1000</f>
        <v>0.0132</v>
      </c>
      <c r="P113" s="1" t="s">
        <v>99</v>
      </c>
    </row>
    <row r="114" spans="1:16" ht="9.75" customHeight="1">
      <c r="A114" s="6"/>
      <c r="B114" s="6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6"/>
      <c r="O114" s="6"/>
      <c r="P114" s="6"/>
    </row>
    <row r="115" spans="3:13" ht="21"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</row>
  </sheetData>
  <mergeCells count="8">
    <mergeCell ref="A67:A70"/>
    <mergeCell ref="P67:P70"/>
    <mergeCell ref="A95:A98"/>
    <mergeCell ref="P95:P98"/>
    <mergeCell ref="A4:A7"/>
    <mergeCell ref="P4:P7"/>
    <mergeCell ref="A38:A41"/>
    <mergeCell ref="P38:P41"/>
  </mergeCells>
  <printOptions horizontalCentered="1"/>
  <pageMargins left="0.7874015748031497" right="0" top="0.7874015748031497" bottom="0" header="0.5118110236220472" footer="0.5118110236220472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nso</cp:lastModifiedBy>
  <cp:lastPrinted>2003-05-29T07:22:12Z</cp:lastPrinted>
  <dcterms:created xsi:type="dcterms:W3CDTF">2003-03-12T07:40:21Z</dcterms:created>
  <dcterms:modified xsi:type="dcterms:W3CDTF">2005-02-09T06:22:18Z</dcterms:modified>
  <cp:category/>
  <cp:version/>
  <cp:contentType/>
  <cp:contentStatus/>
</cp:coreProperties>
</file>