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3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1" l="1"/>
  <c r="R33" i="1"/>
  <c r="Q33" i="1"/>
  <c r="P33" i="1"/>
  <c r="O33" i="1"/>
  <c r="N33" i="1"/>
  <c r="M33" i="1"/>
  <c r="G33" i="1" s="1"/>
  <c r="L33" i="1"/>
  <c r="K33" i="1"/>
  <c r="J33" i="1"/>
  <c r="I33" i="1"/>
  <c r="F33" i="1" s="1"/>
  <c r="E33" i="1" s="1"/>
  <c r="H33" i="1"/>
  <c r="Q32" i="1"/>
  <c r="N32" i="1"/>
  <c r="M32" i="1"/>
  <c r="L32" i="1"/>
  <c r="L29" i="1" s="1"/>
  <c r="H32" i="1"/>
  <c r="G32" i="1"/>
  <c r="F32" i="1"/>
  <c r="E32" i="1" s="1"/>
  <c r="Q31" i="1"/>
  <c r="N31" i="1"/>
  <c r="M31" i="1"/>
  <c r="K31" i="1" s="1"/>
  <c r="L31" i="1"/>
  <c r="H31" i="1"/>
  <c r="G31" i="1"/>
  <c r="F31" i="1"/>
  <c r="E31" i="1" s="1"/>
  <c r="Q30" i="1"/>
  <c r="Q29" i="1" s="1"/>
  <c r="Q12" i="1" s="1"/>
  <c r="N30" i="1"/>
  <c r="N29" i="1" s="1"/>
  <c r="M30" i="1"/>
  <c r="L30" i="1"/>
  <c r="K30" i="1"/>
  <c r="H30" i="1"/>
  <c r="H29" i="1" s="1"/>
  <c r="G30" i="1"/>
  <c r="F30" i="1"/>
  <c r="E30" i="1"/>
  <c r="S29" i="1"/>
  <c r="S12" i="1" s="1"/>
  <c r="R29" i="1"/>
  <c r="P29" i="1"/>
  <c r="O29" i="1"/>
  <c r="O12" i="1" s="1"/>
  <c r="J29" i="1"/>
  <c r="I29" i="1"/>
  <c r="Q28" i="1"/>
  <c r="N28" i="1"/>
  <c r="M28" i="1"/>
  <c r="L28" i="1"/>
  <c r="K28" i="1"/>
  <c r="J28" i="1"/>
  <c r="H28" i="1" s="1"/>
  <c r="I28" i="1"/>
  <c r="F28" i="1"/>
  <c r="Q27" i="1"/>
  <c r="N27" i="1"/>
  <c r="N25" i="1" s="1"/>
  <c r="M27" i="1"/>
  <c r="K27" i="1" s="1"/>
  <c r="L27" i="1"/>
  <c r="J27" i="1"/>
  <c r="G27" i="1" s="1"/>
  <c r="I27" i="1"/>
  <c r="F27" i="1" s="1"/>
  <c r="E27" i="1" s="1"/>
  <c r="Q26" i="1"/>
  <c r="N26" i="1"/>
  <c r="M26" i="1"/>
  <c r="M25" i="1" s="1"/>
  <c r="L26" i="1"/>
  <c r="L25" i="1" s="1"/>
  <c r="J26" i="1"/>
  <c r="I26" i="1"/>
  <c r="F26" i="1" s="1"/>
  <c r="H26" i="1"/>
  <c r="S25" i="1"/>
  <c r="R25" i="1"/>
  <c r="Q25" i="1"/>
  <c r="P25" i="1"/>
  <c r="O25" i="1"/>
  <c r="Q24" i="1"/>
  <c r="N24" i="1"/>
  <c r="M24" i="1"/>
  <c r="L24" i="1"/>
  <c r="K24" i="1"/>
  <c r="J24" i="1"/>
  <c r="H24" i="1" s="1"/>
  <c r="I24" i="1"/>
  <c r="F24" i="1"/>
  <c r="Q23" i="1"/>
  <c r="N23" i="1"/>
  <c r="M23" i="1"/>
  <c r="K23" i="1" s="1"/>
  <c r="L23" i="1"/>
  <c r="J23" i="1"/>
  <c r="G23" i="1" s="1"/>
  <c r="I23" i="1"/>
  <c r="F23" i="1" s="1"/>
  <c r="Q22" i="1"/>
  <c r="N22" i="1"/>
  <c r="M22" i="1"/>
  <c r="L22" i="1"/>
  <c r="K22" i="1" s="1"/>
  <c r="J22" i="1"/>
  <c r="G22" i="1" s="1"/>
  <c r="I22" i="1"/>
  <c r="F22" i="1" s="1"/>
  <c r="E22" i="1" s="1"/>
  <c r="H22" i="1"/>
  <c r="Q21" i="1"/>
  <c r="Q18" i="1" s="1"/>
  <c r="N21" i="1"/>
  <c r="M21" i="1"/>
  <c r="L21" i="1"/>
  <c r="K21" i="1"/>
  <c r="J21" i="1"/>
  <c r="I21" i="1"/>
  <c r="F21" i="1" s="1"/>
  <c r="E21" i="1" s="1"/>
  <c r="H21" i="1"/>
  <c r="G21" i="1"/>
  <c r="Q20" i="1"/>
  <c r="N20" i="1"/>
  <c r="M20" i="1"/>
  <c r="L20" i="1"/>
  <c r="K20" i="1"/>
  <c r="J20" i="1"/>
  <c r="H20" i="1" s="1"/>
  <c r="I20" i="1"/>
  <c r="F20" i="1"/>
  <c r="Q19" i="1"/>
  <c r="N19" i="1"/>
  <c r="N18" i="1" s="1"/>
  <c r="M19" i="1"/>
  <c r="K19" i="1" s="1"/>
  <c r="L19" i="1"/>
  <c r="J19" i="1"/>
  <c r="G19" i="1" s="1"/>
  <c r="I19" i="1"/>
  <c r="F19" i="1" s="1"/>
  <c r="E19" i="1" s="1"/>
  <c r="S18" i="1"/>
  <c r="R18" i="1"/>
  <c r="P18" i="1"/>
  <c r="P12" i="1" s="1"/>
  <c r="O18" i="1"/>
  <c r="L18" i="1"/>
  <c r="Q17" i="1"/>
  <c r="N17" i="1"/>
  <c r="K17" i="1"/>
  <c r="H17" i="1"/>
  <c r="G17" i="1"/>
  <c r="F17" i="1"/>
  <c r="E17" i="1" s="1"/>
  <c r="Q16" i="1"/>
  <c r="N16" i="1"/>
  <c r="M16" i="1"/>
  <c r="L16" i="1"/>
  <c r="K16" i="1"/>
  <c r="H16" i="1"/>
  <c r="G16" i="1"/>
  <c r="F16" i="1"/>
  <c r="E16" i="1"/>
  <c r="Q15" i="1"/>
  <c r="N15" i="1"/>
  <c r="M15" i="1"/>
  <c r="L15" i="1"/>
  <c r="F15" i="1" s="1"/>
  <c r="K15" i="1"/>
  <c r="J15" i="1"/>
  <c r="I15" i="1"/>
  <c r="H15" i="1"/>
  <c r="G15" i="1"/>
  <c r="Q14" i="1"/>
  <c r="Q13" i="1" s="1"/>
  <c r="N14" i="1"/>
  <c r="N13" i="1" s="1"/>
  <c r="M14" i="1"/>
  <c r="L14" i="1"/>
  <c r="K14" i="1"/>
  <c r="H14" i="1"/>
  <c r="H13" i="1" s="1"/>
  <c r="G14" i="1"/>
  <c r="F14" i="1"/>
  <c r="E14" i="1"/>
  <c r="S13" i="1"/>
  <c r="R13" i="1"/>
  <c r="P13" i="1"/>
  <c r="O13" i="1"/>
  <c r="M13" i="1"/>
  <c r="L13" i="1"/>
  <c r="K13" i="1"/>
  <c r="J13" i="1"/>
  <c r="I13" i="1"/>
  <c r="G13" i="1"/>
  <c r="R12" i="1"/>
  <c r="E15" i="1" l="1"/>
  <c r="F13" i="1"/>
  <c r="K18" i="1"/>
  <c r="N12" i="1"/>
  <c r="L12" i="1"/>
  <c r="F29" i="1"/>
  <c r="E29" i="1"/>
  <c r="K29" i="1"/>
  <c r="K12" i="1" s="1"/>
  <c r="E13" i="1"/>
  <c r="E23" i="1"/>
  <c r="H19" i="1"/>
  <c r="H23" i="1"/>
  <c r="J25" i="1"/>
  <c r="G26" i="1"/>
  <c r="E26" i="1" s="1"/>
  <c r="K26" i="1"/>
  <c r="K25" i="1" s="1"/>
  <c r="H27" i="1"/>
  <c r="H25" i="1" s="1"/>
  <c r="K32" i="1"/>
  <c r="I18" i="1"/>
  <c r="F18" i="1" s="1"/>
  <c r="M18" i="1"/>
  <c r="G20" i="1"/>
  <c r="E20" i="1" s="1"/>
  <c r="E18" i="1" s="1"/>
  <c r="G24" i="1"/>
  <c r="E24" i="1" s="1"/>
  <c r="G28" i="1"/>
  <c r="E28" i="1" s="1"/>
  <c r="J18" i="1"/>
  <c r="I25" i="1"/>
  <c r="M29" i="1"/>
  <c r="E25" i="1" l="1"/>
  <c r="E12" i="1" s="1"/>
  <c r="H18" i="1"/>
  <c r="H12" i="1" s="1"/>
  <c r="M12" i="1"/>
  <c r="G29" i="1"/>
  <c r="G25" i="1"/>
  <c r="J12" i="1"/>
  <c r="F25" i="1"/>
  <c r="I12" i="1"/>
  <c r="F12" i="1"/>
  <c r="G18" i="1"/>
  <c r="G12" i="1" l="1"/>
</calcChain>
</file>

<file path=xl/sharedStrings.xml><?xml version="1.0" encoding="utf-8"?>
<sst xmlns="http://schemas.openxmlformats.org/spreadsheetml/2006/main" count="103" uniqueCount="75">
  <si>
    <t xml:space="preserve">ตาราง     </t>
  </si>
  <si>
    <t>นักเรียน จำแนกตามสังกัด เพศ และชั้นเรียน ปีการศึกษา 2559</t>
  </si>
  <si>
    <t xml:space="preserve">Table </t>
  </si>
  <si>
    <t>Student by Jurisdiction, Sex and Grade: Academic Year 2016</t>
  </si>
  <si>
    <t>ชั้นเรียน</t>
  </si>
  <si>
    <t>สังกัด  Jurisdiction</t>
  </si>
  <si>
    <t>Grade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</si>
  <si>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</si>
  <si>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</si>
  <si>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</si>
  <si>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</si>
  <si>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</si>
  <si>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</si>
  <si>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r>
      <t xml:space="preserve">การปกครองท้องถิ่น </t>
    </r>
    <r>
      <rPr>
        <vertAlign val="superscript"/>
        <sz val="11"/>
        <rFont val="TH SarabunPSK"/>
        <family val="2"/>
      </rPr>
      <t>1/</t>
    </r>
  </si>
  <si>
    <t>รวม</t>
  </si>
  <si>
    <t>Office of the Basic</t>
  </si>
  <si>
    <t>Office of the Private</t>
  </si>
  <si>
    <t xml:space="preserve">Department of Local </t>
  </si>
  <si>
    <r>
      <t xml:space="preserve">อื่นๆ </t>
    </r>
    <r>
      <rPr>
        <vertAlign val="superscript"/>
        <sz val="11"/>
        <rFont val="TH SarabunPSK"/>
        <family val="2"/>
      </rPr>
      <t>1/</t>
    </r>
  </si>
  <si>
    <t>Total</t>
  </si>
  <si>
    <t>Education Commission</t>
  </si>
  <si>
    <t>Administration</t>
  </si>
  <si>
    <t>Others</t>
  </si>
  <si>
    <t>ชาย</t>
  </si>
  <si>
    <t>หญิง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</si>
  <si>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</si>
  <si>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</si>
  <si>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</si>
  <si>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</si>
  <si>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</si>
  <si>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</si>
  <si>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</si>
  <si>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</si>
  <si>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</si>
  <si>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</si>
  <si>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</si>
  <si>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</si>
  <si>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</si>
  <si>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</si>
  <si>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</si>
  <si>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</si>
  <si>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</si>
  <si>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</si>
  <si>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</si>
  <si>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</si>
  <si>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</si>
  <si>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</si>
  <si>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</si>
  <si>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</si>
  <si>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</si>
  <si>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</si>
  <si>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</si>
  <si>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</si>
  <si>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</si>
  <si>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</si>
  <si>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</si>
  <si>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</si>
  <si>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</si>
  <si>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</si>
  <si>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</si>
  <si>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</si>
  <si>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</si>
  <si>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</si>
  <si>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</si>
  <si>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</si>
  <si>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</si>
  <si>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</si>
  <si>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</si>
  <si>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>สูงกว่ามธยมปลาย</t>
  </si>
  <si>
    <t>Higher Upper Secondary</t>
  </si>
  <si>
    <t/>
  </si>
  <si>
    <t>หมายเหตุ:  1/ ได้รับข้อมูลเฉพาะสำนักงานเขตพื้นที่การศึกษาประถมศึกษานนทบุรี เขต 1</t>
  </si>
  <si>
    <t>Note : 1/ Only at  Nonthaburi Primary Educational Service Area Office, Area 1</t>
  </si>
  <si>
    <t xml:space="preserve">       ที่มา:  สำนักงานเขตพื้นที่การศึกษาประถมศึกษานนทบุรี เขต 1, 2</t>
  </si>
  <si>
    <t>Source: Nonthaburi Primary Educational Service Area Office, Area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</si>
</sst>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188" fontId="4" fillId="0" borderId="11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1" fontId="4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41" fontId="2" fillId="0" borderId="11" xfId="0" applyNumberFormat="1" applyFont="1" applyBorder="1" applyAlignment="1">
      <alignment horizontal="right" vertical="center"/>
    </xf>
    <xf numFmtId="188" fontId="2" fillId="0" borderId="11" xfId="1" applyNumberFormat="1" applyFont="1" applyBorder="1" applyAlignment="1">
      <alignment horizontal="right"/>
    </xf>
    <xf numFmtId="188" fontId="2" fillId="0" borderId="6" xfId="1" applyNumberFormat="1" applyFont="1" applyBorder="1" applyAlignment="1">
      <alignment horizontal="right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top"/>
    </xf>
    <xf numFmtId="188" fontId="2" fillId="0" borderId="11" xfId="1" applyNumberFormat="1" applyFont="1" applyBorder="1" applyAlignment="1">
      <alignment horizontal="right" vertical="center"/>
    </xf>
    <xf numFmtId="0" fontId="2" fillId="0" borderId="6" xfId="2" applyFont="1" applyBorder="1"/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188" fontId="4" fillId="0" borderId="13" xfId="1" applyNumberFormat="1" applyFont="1" applyBorder="1" applyAlignment="1">
      <alignment horizontal="right"/>
    </xf>
    <xf numFmtId="41" fontId="4" fillId="0" borderId="1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2" fillId="0" borderId="0" xfId="0" quotePrefix="1" applyFont="1" applyBorder="1"/>
    <xf numFmtId="0" fontId="2" fillId="0" borderId="0" xfId="0" applyFont="1"/>
    <xf numFmtId="188" fontId="2" fillId="0" borderId="0" xfId="0" applyNumberFormat="1" applyFont="1"/>
  </cellXfs>
  <cellStyles count="3">
    <cellStyle name="Comma 3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W39"/>
  <sheetViews>
    <sheetView showGridLines="0" tabSelected="1" topLeftCell="A5" zoomScaleNormal="100" workbookViewId="0">
      <selection activeCell="S33" sqref="S33"/>
    </sheetView>
  </sheetViews>
  <sheetFormatPr defaultRowHeight="15" x14ac:dyDescent="0.25"/>
  <cols>
    <col min="1" max="1" width="1.7109375" style="11" customWidth="1"/>
    <col min="2" max="2" width="5.85546875" style="11" customWidth="1"/>
    <col min="3" max="3" width="4.42578125" style="11" customWidth="1"/>
    <col min="4" max="4" width="4.5703125" style="11" customWidth="1"/>
    <col min="5" max="7" width="7.28515625" style="11" customWidth="1"/>
    <col min="8" max="8" width="8.28515625" style="11" customWidth="1"/>
    <col min="9" max="10" width="7.140625" style="11" customWidth="1"/>
    <col min="11" max="19" width="7.28515625" style="11" customWidth="1"/>
    <col min="20" max="20" width="1.140625" style="11" customWidth="1"/>
    <col min="21" max="21" width="15.7109375" style="11" customWidth="1"/>
    <col min="22" max="22" width="2.28515625" style="11" customWidth="1"/>
    <col min="23" max="23" width="4.140625" style="11" customWidth="1"/>
    <col min="24" max="16384" width="9.140625" style="11"/>
  </cols>
  <sheetData>
    <row r="1" spans="1:23" s="1" customFormat="1" ht="18.75" x14ac:dyDescent="0.3">
      <c r="B1" s="1" t="s">
        <v>0</v>
      </c>
      <c r="C1" s="2">
        <v>3.5</v>
      </c>
      <c r="D1" s="1" t="s">
        <v>1</v>
      </c>
    </row>
    <row r="2" spans="1:23" s="1" customFormat="1" ht="20.25" customHeight="1" x14ac:dyDescent="0.3">
      <c r="B2" s="1" t="s">
        <v>2</v>
      </c>
      <c r="C2" s="2">
        <v>3.5</v>
      </c>
      <c r="D2" s="1" t="s">
        <v>3</v>
      </c>
    </row>
    <row r="3" spans="1:23" ht="15" customHeight="1" x14ac:dyDescent="0.25">
      <c r="A3" s="3" t="s">
        <v>4</v>
      </c>
      <c r="B3" s="3"/>
      <c r="C3" s="3"/>
      <c r="D3" s="4"/>
      <c r="E3" s="5"/>
      <c r="F3" s="6"/>
      <c r="G3" s="7"/>
      <c r="H3" s="8" t="s">
        <v>5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 t="s">
        <v>6</v>
      </c>
      <c r="U3" s="3"/>
    </row>
    <row r="4" spans="1:23" x14ac:dyDescent="0.25">
      <c r="A4" s="12"/>
      <c r="B4" s="12"/>
      <c r="C4" s="12"/>
      <c r="D4" s="13"/>
      <c r="E4" s="14"/>
      <c r="G4" s="15"/>
      <c r="H4" s="16"/>
      <c r="I4" s="6"/>
      <c r="J4" s="17"/>
      <c r="K4" s="18" t="s">
        <v>7</v>
      </c>
      <c r="L4" s="19"/>
      <c r="M4" s="20"/>
      <c r="N4" s="16"/>
      <c r="O4" s="6"/>
      <c r="P4" s="17"/>
      <c r="T4" s="21"/>
      <c r="U4" s="22"/>
    </row>
    <row r="5" spans="1:23" ht="15.75" customHeight="1" x14ac:dyDescent="0.25">
      <c r="A5" s="12"/>
      <c r="B5" s="12"/>
      <c r="C5" s="12"/>
      <c r="D5" s="13"/>
      <c r="E5" s="23"/>
      <c r="F5" s="24"/>
      <c r="G5" s="25"/>
      <c r="H5" s="23" t="s">
        <v>8</v>
      </c>
      <c r="I5" s="24"/>
      <c r="J5" s="25"/>
      <c r="K5" s="23" t="s">
        <v>9</v>
      </c>
      <c r="L5" s="24"/>
      <c r="M5" s="25"/>
      <c r="N5" s="23" t="s">
        <v>10</v>
      </c>
      <c r="O5" s="24"/>
      <c r="P5" s="25"/>
      <c r="Q5" s="24"/>
      <c r="R5" s="24"/>
      <c r="S5" s="24"/>
      <c r="T5" s="21"/>
      <c r="U5" s="22"/>
    </row>
    <row r="6" spans="1:23" ht="17.25" customHeight="1" x14ac:dyDescent="0.25">
      <c r="A6" s="12"/>
      <c r="B6" s="12"/>
      <c r="C6" s="12"/>
      <c r="D6" s="13"/>
      <c r="E6" s="23"/>
      <c r="F6" s="24"/>
      <c r="G6" s="25"/>
      <c r="H6" s="23" t="s">
        <v>11</v>
      </c>
      <c r="I6" s="24"/>
      <c r="J6" s="25"/>
      <c r="K6" s="23" t="s">
        <v>12</v>
      </c>
      <c r="L6" s="24"/>
      <c r="M6" s="25"/>
      <c r="N6" s="23" t="s">
        <v>13</v>
      </c>
      <c r="O6" s="24"/>
      <c r="P6" s="25"/>
      <c r="Q6" s="24"/>
      <c r="R6" s="24"/>
      <c r="S6" s="24"/>
      <c r="T6" s="21"/>
      <c r="U6" s="22"/>
    </row>
    <row r="7" spans="1:23" ht="16.5" customHeight="1" x14ac:dyDescent="0.25">
      <c r="A7" s="12"/>
      <c r="B7" s="12"/>
      <c r="C7" s="12"/>
      <c r="D7" s="13"/>
      <c r="E7" s="23" t="s">
        <v>14</v>
      </c>
      <c r="F7" s="24"/>
      <c r="G7" s="25"/>
      <c r="H7" s="23" t="s">
        <v>15</v>
      </c>
      <c r="I7" s="24"/>
      <c r="J7" s="25"/>
      <c r="K7" s="23" t="s">
        <v>16</v>
      </c>
      <c r="L7" s="24"/>
      <c r="M7" s="25"/>
      <c r="N7" s="23" t="s">
        <v>17</v>
      </c>
      <c r="O7" s="24"/>
      <c r="P7" s="25"/>
      <c r="Q7" s="24" t="s">
        <v>18</v>
      </c>
      <c r="R7" s="24"/>
      <c r="S7" s="24"/>
      <c r="T7" s="21"/>
      <c r="U7" s="22"/>
    </row>
    <row r="8" spans="1:23" ht="14.25" customHeight="1" x14ac:dyDescent="0.25">
      <c r="A8" s="12"/>
      <c r="B8" s="12"/>
      <c r="C8" s="12"/>
      <c r="D8" s="13"/>
      <c r="E8" s="26" t="s">
        <v>19</v>
      </c>
      <c r="F8" s="27"/>
      <c r="G8" s="28"/>
      <c r="H8" s="26" t="s">
        <v>20</v>
      </c>
      <c r="I8" s="27"/>
      <c r="J8" s="28"/>
      <c r="K8" s="26" t="s">
        <v>20</v>
      </c>
      <c r="L8" s="27"/>
      <c r="M8" s="28"/>
      <c r="N8" s="23" t="s">
        <v>21</v>
      </c>
      <c r="O8" s="24"/>
      <c r="P8" s="25"/>
      <c r="Q8" s="26" t="s">
        <v>22</v>
      </c>
      <c r="R8" s="27"/>
      <c r="S8" s="28"/>
      <c r="T8" s="21"/>
      <c r="U8" s="22"/>
    </row>
    <row r="9" spans="1:23" ht="13.5" customHeight="1" x14ac:dyDescent="0.25">
      <c r="A9" s="12"/>
      <c r="B9" s="12"/>
      <c r="C9" s="12"/>
      <c r="D9" s="13"/>
      <c r="E9" s="29" t="s">
        <v>14</v>
      </c>
      <c r="F9" s="30" t="s">
        <v>23</v>
      </c>
      <c r="G9" s="30" t="s">
        <v>24</v>
      </c>
      <c r="H9" s="31" t="s">
        <v>14</v>
      </c>
      <c r="I9" s="31" t="s">
        <v>23</v>
      </c>
      <c r="J9" s="30" t="s">
        <v>24</v>
      </c>
      <c r="K9" s="31" t="s">
        <v>14</v>
      </c>
      <c r="L9" s="31" t="s">
        <v>23</v>
      </c>
      <c r="M9" s="30" t="s">
        <v>24</v>
      </c>
      <c r="N9" s="31" t="s">
        <v>14</v>
      </c>
      <c r="O9" s="31" t="s">
        <v>23</v>
      </c>
      <c r="P9" s="31" t="s">
        <v>24</v>
      </c>
      <c r="Q9" s="29" t="s">
        <v>14</v>
      </c>
      <c r="R9" s="29" t="s">
        <v>23</v>
      </c>
      <c r="S9" s="32" t="s">
        <v>24</v>
      </c>
      <c r="T9" s="21"/>
      <c r="U9" s="22"/>
    </row>
    <row r="10" spans="1:23" ht="13.5" customHeight="1" x14ac:dyDescent="0.25">
      <c r="A10" s="33"/>
      <c r="B10" s="33"/>
      <c r="C10" s="33"/>
      <c r="D10" s="34"/>
      <c r="E10" s="35" t="s">
        <v>19</v>
      </c>
      <c r="F10" s="36" t="s">
        <v>25</v>
      </c>
      <c r="G10" s="36" t="s">
        <v>26</v>
      </c>
      <c r="H10" s="35" t="s">
        <v>19</v>
      </c>
      <c r="I10" s="35" t="s">
        <v>25</v>
      </c>
      <c r="J10" s="36" t="s">
        <v>26</v>
      </c>
      <c r="K10" s="35" t="s">
        <v>19</v>
      </c>
      <c r="L10" s="35" t="s">
        <v>25</v>
      </c>
      <c r="M10" s="36" t="s">
        <v>26</v>
      </c>
      <c r="N10" s="35" t="s">
        <v>19</v>
      </c>
      <c r="O10" s="35" t="s">
        <v>25</v>
      </c>
      <c r="P10" s="36" t="s">
        <v>26</v>
      </c>
      <c r="Q10" s="35" t="s">
        <v>19</v>
      </c>
      <c r="R10" s="35" t="s">
        <v>25</v>
      </c>
      <c r="S10" s="37" t="s">
        <v>26</v>
      </c>
      <c r="T10" s="38"/>
      <c r="U10" s="33"/>
    </row>
    <row r="11" spans="1:23" ht="3" customHeight="1" x14ac:dyDescent="0.25">
      <c r="A11" s="39"/>
      <c r="B11" s="39"/>
      <c r="C11" s="39"/>
      <c r="D11" s="40"/>
      <c r="E11" s="29"/>
      <c r="F11" s="30"/>
      <c r="G11" s="30"/>
      <c r="H11" s="29"/>
      <c r="I11" s="29"/>
      <c r="J11" s="30"/>
      <c r="K11" s="29"/>
      <c r="L11" s="29"/>
      <c r="M11" s="30"/>
      <c r="N11" s="29"/>
      <c r="O11" s="29"/>
      <c r="P11" s="30"/>
      <c r="Q11" s="29"/>
      <c r="R11" s="29"/>
      <c r="S11" s="32"/>
      <c r="T11" s="41"/>
    </row>
    <row r="12" spans="1:23" s="47" customFormat="1" ht="16.5" customHeight="1" x14ac:dyDescent="0.25">
      <c r="A12" s="42" t="s">
        <v>27</v>
      </c>
      <c r="B12" s="42"/>
      <c r="C12" s="42"/>
      <c r="D12" s="43"/>
      <c r="E12" s="44">
        <f>+E29+E25+E18+E13+E33</f>
        <v>123579</v>
      </c>
      <c r="F12" s="44">
        <f t="shared" ref="F12:G12" si="0">+F29+F25+F18+F13+F33</f>
        <v>62742</v>
      </c>
      <c r="G12" s="44">
        <f t="shared" si="0"/>
        <v>60837</v>
      </c>
      <c r="H12" s="44">
        <f>+H29+H25+H18+H13</f>
        <v>41442</v>
      </c>
      <c r="I12" s="44">
        <f t="shared" ref="I12:P12" si="1">+I29+I25+I18+I13</f>
        <v>21656</v>
      </c>
      <c r="J12" s="44">
        <f t="shared" si="1"/>
        <v>19786</v>
      </c>
      <c r="K12" s="44">
        <f>+K29+K25+K18+K13</f>
        <v>63805</v>
      </c>
      <c r="L12" s="44">
        <f>+L29+L25+L18+L13</f>
        <v>31815</v>
      </c>
      <c r="M12" s="44">
        <f>+M29+M25+M18+M13</f>
        <v>31990</v>
      </c>
      <c r="N12" s="44">
        <f>+N29+N25+N18+N13</f>
        <v>7961</v>
      </c>
      <c r="O12" s="44">
        <f t="shared" si="1"/>
        <v>4133</v>
      </c>
      <c r="P12" s="44">
        <f t="shared" si="1"/>
        <v>3828</v>
      </c>
      <c r="Q12" s="44">
        <f>+Q29+Q25+Q18+Q13+Q33</f>
        <v>10371</v>
      </c>
      <c r="R12" s="44">
        <f t="shared" ref="R12:S12" si="2">+R29+R25+R18+R13+R33</f>
        <v>5138</v>
      </c>
      <c r="S12" s="44">
        <f t="shared" si="2"/>
        <v>5233</v>
      </c>
      <c r="T12" s="45"/>
      <c r="U12" s="42" t="s">
        <v>19</v>
      </c>
      <c r="V12" s="46"/>
      <c r="W12" s="46"/>
    </row>
    <row r="13" spans="1:23" s="47" customFormat="1" ht="16.5" customHeight="1" x14ac:dyDescent="0.25">
      <c r="A13" s="42" t="s">
        <v>28</v>
      </c>
      <c r="B13" s="42"/>
      <c r="C13" s="42"/>
      <c r="D13" s="43"/>
      <c r="E13" s="44">
        <f>SUM(E14:E17)</f>
        <v>31757</v>
      </c>
      <c r="F13" s="48">
        <f t="shared" ref="F13:S13" si="3">SUM(F14:F17)</f>
        <v>16285</v>
      </c>
      <c r="G13" s="48">
        <f t="shared" si="3"/>
        <v>15472</v>
      </c>
      <c r="H13" s="44">
        <f t="shared" si="3"/>
        <v>8519</v>
      </c>
      <c r="I13" s="44">
        <f t="shared" si="3"/>
        <v>4360</v>
      </c>
      <c r="J13" s="44">
        <f t="shared" si="3"/>
        <v>4159</v>
      </c>
      <c r="K13" s="44">
        <f t="shared" si="3"/>
        <v>18748</v>
      </c>
      <c r="L13" s="44">
        <f t="shared" si="3"/>
        <v>9664</v>
      </c>
      <c r="M13" s="44">
        <f t="shared" si="3"/>
        <v>9084</v>
      </c>
      <c r="N13" s="44">
        <f t="shared" si="3"/>
        <v>1816</v>
      </c>
      <c r="O13" s="44">
        <f t="shared" si="3"/>
        <v>866</v>
      </c>
      <c r="P13" s="44">
        <f t="shared" si="3"/>
        <v>950</v>
      </c>
      <c r="Q13" s="44">
        <f t="shared" si="3"/>
        <v>2674</v>
      </c>
      <c r="R13" s="44">
        <f t="shared" si="3"/>
        <v>1395</v>
      </c>
      <c r="S13" s="44">
        <f t="shared" si="3"/>
        <v>1279</v>
      </c>
      <c r="T13" s="45" t="s">
        <v>29</v>
      </c>
      <c r="U13" s="42"/>
      <c r="V13" s="46"/>
      <c r="W13" s="46"/>
    </row>
    <row r="14" spans="1:23" ht="15" customHeight="1" x14ac:dyDescent="0.25">
      <c r="A14" s="49"/>
      <c r="B14" s="49" t="s">
        <v>30</v>
      </c>
      <c r="C14" s="49"/>
      <c r="D14" s="50"/>
      <c r="E14" s="51">
        <f t="shared" ref="E14:E32" si="4">+F14+G14</f>
        <v>8691</v>
      </c>
      <c r="F14" s="51">
        <f t="shared" ref="F14:G32" si="5">+I14+L14+O14+R14</f>
        <v>4453</v>
      </c>
      <c r="G14" s="51">
        <f t="shared" si="5"/>
        <v>4238</v>
      </c>
      <c r="H14" s="51">
        <f t="shared" ref="H14:H32" si="6">+I14+J14</f>
        <v>1705</v>
      </c>
      <c r="I14" s="52">
        <v>893</v>
      </c>
      <c r="J14" s="52">
        <v>812</v>
      </c>
      <c r="K14" s="51">
        <f t="shared" ref="K14:K32" si="7">+L14+M14</f>
        <v>6774</v>
      </c>
      <c r="L14" s="52">
        <f>961+2548</f>
        <v>3509</v>
      </c>
      <c r="M14" s="52">
        <f>871+2394</f>
        <v>3265</v>
      </c>
      <c r="N14" s="51">
        <f t="shared" ref="N14:N32" si="8">+O14+P14</f>
        <v>212</v>
      </c>
      <c r="O14" s="52">
        <v>51</v>
      </c>
      <c r="P14" s="53">
        <v>161</v>
      </c>
      <c r="Q14" s="51">
        <f>+R14+S14</f>
        <v>0</v>
      </c>
      <c r="R14" s="51">
        <v>0</v>
      </c>
      <c r="S14" s="51">
        <v>0</v>
      </c>
      <c r="T14" s="54"/>
      <c r="U14" s="49" t="s">
        <v>31</v>
      </c>
    </row>
    <row r="15" spans="1:23" ht="15" customHeight="1" x14ac:dyDescent="0.25">
      <c r="A15" s="49"/>
      <c r="B15" s="49" t="s">
        <v>32</v>
      </c>
      <c r="C15" s="49"/>
      <c r="D15" s="50"/>
      <c r="E15" s="51">
        <f t="shared" si="4"/>
        <v>11329</v>
      </c>
      <c r="F15" s="51">
        <f t="shared" si="5"/>
        <v>5821</v>
      </c>
      <c r="G15" s="51">
        <f t="shared" si="5"/>
        <v>5508</v>
      </c>
      <c r="H15" s="51">
        <f t="shared" si="6"/>
        <v>4230</v>
      </c>
      <c r="I15" s="52">
        <f>811+1346</f>
        <v>2157</v>
      </c>
      <c r="J15" s="52">
        <f>832+1241</f>
        <v>2073</v>
      </c>
      <c r="K15" s="51">
        <f t="shared" si="7"/>
        <v>6260</v>
      </c>
      <c r="L15" s="52">
        <f>875+2357</f>
        <v>3232</v>
      </c>
      <c r="M15" s="52">
        <f>876+2152</f>
        <v>3028</v>
      </c>
      <c r="N15" s="51">
        <f t="shared" si="8"/>
        <v>839</v>
      </c>
      <c r="O15" s="52">
        <v>432</v>
      </c>
      <c r="P15" s="53">
        <v>407</v>
      </c>
      <c r="Q15" s="51">
        <f t="shared" ref="Q15:Q28" si="9">+R15+S15</f>
        <v>0</v>
      </c>
      <c r="R15" s="51">
        <v>0</v>
      </c>
      <c r="S15" s="51">
        <v>0</v>
      </c>
      <c r="T15" s="54"/>
      <c r="U15" s="49" t="s">
        <v>33</v>
      </c>
    </row>
    <row r="16" spans="1:23" ht="15" customHeight="1" x14ac:dyDescent="0.25">
      <c r="A16" s="49"/>
      <c r="B16" s="49" t="s">
        <v>34</v>
      </c>
      <c r="C16" s="49"/>
      <c r="D16" s="50"/>
      <c r="E16" s="51">
        <f t="shared" si="4"/>
        <v>9063</v>
      </c>
      <c r="F16" s="51">
        <f t="shared" si="5"/>
        <v>4616</v>
      </c>
      <c r="G16" s="51">
        <f t="shared" si="5"/>
        <v>4447</v>
      </c>
      <c r="H16" s="51">
        <f t="shared" si="6"/>
        <v>2584</v>
      </c>
      <c r="I16" s="52">
        <v>1310</v>
      </c>
      <c r="J16" s="52">
        <v>1274</v>
      </c>
      <c r="K16" s="51">
        <f t="shared" si="7"/>
        <v>5714</v>
      </c>
      <c r="L16" s="52">
        <f>892+2031</f>
        <v>2923</v>
      </c>
      <c r="M16" s="52">
        <f>793+1998</f>
        <v>2791</v>
      </c>
      <c r="N16" s="51">
        <f t="shared" si="8"/>
        <v>765</v>
      </c>
      <c r="O16" s="52">
        <v>383</v>
      </c>
      <c r="P16" s="53">
        <v>382</v>
      </c>
      <c r="Q16" s="51">
        <f t="shared" si="9"/>
        <v>0</v>
      </c>
      <c r="R16" s="51">
        <v>0</v>
      </c>
      <c r="S16" s="51">
        <v>0</v>
      </c>
      <c r="T16" s="49"/>
      <c r="U16" s="55" t="s">
        <v>35</v>
      </c>
    </row>
    <row r="17" spans="1:23" ht="15" customHeight="1" x14ac:dyDescent="0.25">
      <c r="A17" s="49"/>
      <c r="B17" s="49" t="s">
        <v>36</v>
      </c>
      <c r="C17" s="49"/>
      <c r="D17" s="50"/>
      <c r="E17" s="51">
        <f t="shared" si="4"/>
        <v>2674</v>
      </c>
      <c r="F17" s="51">
        <f t="shared" si="5"/>
        <v>1395</v>
      </c>
      <c r="G17" s="51">
        <f t="shared" si="5"/>
        <v>1279</v>
      </c>
      <c r="H17" s="51">
        <f t="shared" si="6"/>
        <v>0</v>
      </c>
      <c r="I17" s="51">
        <v>0</v>
      </c>
      <c r="J17" s="51">
        <v>0</v>
      </c>
      <c r="K17" s="51">
        <f t="shared" si="7"/>
        <v>0</v>
      </c>
      <c r="L17" s="51">
        <v>0</v>
      </c>
      <c r="M17" s="51">
        <v>0</v>
      </c>
      <c r="N17" s="51">
        <f t="shared" si="8"/>
        <v>0</v>
      </c>
      <c r="O17" s="51">
        <v>0</v>
      </c>
      <c r="P17" s="51">
        <v>0</v>
      </c>
      <c r="Q17" s="51">
        <f t="shared" si="9"/>
        <v>2674</v>
      </c>
      <c r="R17" s="52">
        <v>1395</v>
      </c>
      <c r="S17" s="52">
        <v>1279</v>
      </c>
      <c r="T17" s="49"/>
      <c r="U17" s="55" t="s">
        <v>37</v>
      </c>
    </row>
    <row r="18" spans="1:23" s="47" customFormat="1" ht="16.5" customHeight="1" x14ac:dyDescent="0.25">
      <c r="A18" s="42" t="s">
        <v>38</v>
      </c>
      <c r="B18" s="42"/>
      <c r="C18" s="42"/>
      <c r="D18" s="43"/>
      <c r="E18" s="44">
        <f t="shared" ref="E18:R18" si="10">SUM(E19:E24)</f>
        <v>66287</v>
      </c>
      <c r="F18" s="48">
        <f t="shared" si="5"/>
        <v>34147</v>
      </c>
      <c r="G18" s="48">
        <f t="shared" si="5"/>
        <v>32140</v>
      </c>
      <c r="H18" s="44">
        <f t="shared" si="10"/>
        <v>29515</v>
      </c>
      <c r="I18" s="44">
        <f t="shared" si="10"/>
        <v>15393</v>
      </c>
      <c r="J18" s="44">
        <f t="shared" si="10"/>
        <v>14122</v>
      </c>
      <c r="K18" s="44">
        <f t="shared" si="10"/>
        <v>32007</v>
      </c>
      <c r="L18" s="44">
        <f t="shared" si="10"/>
        <v>16276</v>
      </c>
      <c r="M18" s="44">
        <f t="shared" si="10"/>
        <v>15731</v>
      </c>
      <c r="N18" s="44">
        <f t="shared" si="10"/>
        <v>4611</v>
      </c>
      <c r="O18" s="44">
        <f t="shared" si="10"/>
        <v>2388</v>
      </c>
      <c r="P18" s="44">
        <f t="shared" si="10"/>
        <v>2223</v>
      </c>
      <c r="Q18" s="44">
        <f t="shared" si="10"/>
        <v>154</v>
      </c>
      <c r="R18" s="44">
        <f t="shared" si="10"/>
        <v>90</v>
      </c>
      <c r="S18" s="44">
        <f>SUM(S19:S24)</f>
        <v>64</v>
      </c>
      <c r="T18" s="45" t="s">
        <v>39</v>
      </c>
      <c r="U18" s="42"/>
      <c r="V18" s="46"/>
      <c r="W18" s="46"/>
    </row>
    <row r="19" spans="1:23" ht="15" customHeight="1" x14ac:dyDescent="0.25">
      <c r="A19" s="49"/>
      <c r="B19" s="49" t="s">
        <v>40</v>
      </c>
      <c r="C19" s="49"/>
      <c r="D19" s="50"/>
      <c r="E19" s="51">
        <f t="shared" si="4"/>
        <v>10960</v>
      </c>
      <c r="F19" s="51">
        <f t="shared" si="5"/>
        <v>5689</v>
      </c>
      <c r="G19" s="51">
        <f t="shared" si="5"/>
        <v>5271</v>
      </c>
      <c r="H19" s="51">
        <f t="shared" si="6"/>
        <v>4891</v>
      </c>
      <c r="I19" s="52">
        <f>1112+1471</f>
        <v>2583</v>
      </c>
      <c r="J19" s="52">
        <f>1038+1270</f>
        <v>2308</v>
      </c>
      <c r="K19" s="51">
        <f t="shared" si="7"/>
        <v>5225</v>
      </c>
      <c r="L19" s="52">
        <f>495+2164</f>
        <v>2659</v>
      </c>
      <c r="M19" s="52">
        <f>474+2092</f>
        <v>2566</v>
      </c>
      <c r="N19" s="51">
        <f t="shared" si="8"/>
        <v>830</v>
      </c>
      <c r="O19" s="52">
        <v>436</v>
      </c>
      <c r="P19" s="53">
        <v>394</v>
      </c>
      <c r="Q19" s="51">
        <f t="shared" si="9"/>
        <v>14</v>
      </c>
      <c r="R19" s="51">
        <v>11</v>
      </c>
      <c r="S19" s="51">
        <v>3</v>
      </c>
      <c r="T19" s="49"/>
      <c r="U19" s="55" t="s">
        <v>41</v>
      </c>
    </row>
    <row r="20" spans="1:23" ht="15" customHeight="1" x14ac:dyDescent="0.25">
      <c r="A20" s="49"/>
      <c r="B20" s="49" t="s">
        <v>42</v>
      </c>
      <c r="C20" s="49"/>
      <c r="D20" s="50"/>
      <c r="E20" s="51">
        <f t="shared" si="4"/>
        <v>10973</v>
      </c>
      <c r="F20" s="51">
        <f t="shared" si="5"/>
        <v>5726</v>
      </c>
      <c r="G20" s="51">
        <f t="shared" si="5"/>
        <v>5247</v>
      </c>
      <c r="H20" s="51">
        <f t="shared" si="6"/>
        <v>4834</v>
      </c>
      <c r="I20" s="52">
        <f>1071+1489</f>
        <v>2560</v>
      </c>
      <c r="J20" s="52">
        <f>1014+1260</f>
        <v>2274</v>
      </c>
      <c r="K20" s="51">
        <f t="shared" si="7"/>
        <v>5365</v>
      </c>
      <c r="L20" s="52">
        <f>479+2296</f>
        <v>2775</v>
      </c>
      <c r="M20" s="52">
        <f>438+2152</f>
        <v>2590</v>
      </c>
      <c r="N20" s="51">
        <f t="shared" si="8"/>
        <v>758</v>
      </c>
      <c r="O20" s="52">
        <v>380</v>
      </c>
      <c r="P20" s="56">
        <v>378</v>
      </c>
      <c r="Q20" s="51">
        <f t="shared" si="9"/>
        <v>16</v>
      </c>
      <c r="R20" s="51">
        <v>11</v>
      </c>
      <c r="S20" s="51">
        <v>5</v>
      </c>
      <c r="T20" s="49"/>
      <c r="U20" s="55" t="s">
        <v>43</v>
      </c>
    </row>
    <row r="21" spans="1:23" ht="15" customHeight="1" x14ac:dyDescent="0.25">
      <c r="A21" s="49"/>
      <c r="B21" s="49" t="s">
        <v>44</v>
      </c>
      <c r="C21" s="49"/>
      <c r="D21" s="50"/>
      <c r="E21" s="51">
        <f t="shared" si="4"/>
        <v>10949</v>
      </c>
      <c r="F21" s="51">
        <f t="shared" si="5"/>
        <v>5602</v>
      </c>
      <c r="G21" s="51">
        <f t="shared" si="5"/>
        <v>5347</v>
      </c>
      <c r="H21" s="51">
        <f t="shared" si="6"/>
        <v>4862</v>
      </c>
      <c r="I21" s="52">
        <f>1066+1441</f>
        <v>2507</v>
      </c>
      <c r="J21" s="52">
        <f>1031+1324</f>
        <v>2355</v>
      </c>
      <c r="K21" s="51">
        <f t="shared" si="7"/>
        <v>5336</v>
      </c>
      <c r="L21" s="52">
        <f>476+2237</f>
        <v>2713</v>
      </c>
      <c r="M21" s="52">
        <f>440+2183</f>
        <v>2623</v>
      </c>
      <c r="N21" s="51">
        <f t="shared" si="8"/>
        <v>733</v>
      </c>
      <c r="O21" s="52">
        <v>368</v>
      </c>
      <c r="P21" s="53">
        <v>365</v>
      </c>
      <c r="Q21" s="51">
        <f t="shared" si="9"/>
        <v>18</v>
      </c>
      <c r="R21" s="51">
        <v>14</v>
      </c>
      <c r="S21" s="51">
        <v>4</v>
      </c>
      <c r="T21" s="49"/>
      <c r="U21" s="55" t="s">
        <v>45</v>
      </c>
    </row>
    <row r="22" spans="1:23" ht="15" customHeight="1" x14ac:dyDescent="0.25">
      <c r="A22" s="49"/>
      <c r="B22" s="49" t="s">
        <v>46</v>
      </c>
      <c r="C22" s="49"/>
      <c r="D22" s="50"/>
      <c r="E22" s="51">
        <f t="shared" si="4"/>
        <v>11160</v>
      </c>
      <c r="F22" s="51">
        <f t="shared" si="5"/>
        <v>5723</v>
      </c>
      <c r="G22" s="51">
        <f t="shared" si="5"/>
        <v>5437</v>
      </c>
      <c r="H22" s="51">
        <f t="shared" si="6"/>
        <v>4920</v>
      </c>
      <c r="I22" s="52">
        <f>1073+1487</f>
        <v>2560</v>
      </c>
      <c r="J22" s="52">
        <f>1062+1298</f>
        <v>2360</v>
      </c>
      <c r="K22" s="51">
        <f t="shared" si="7"/>
        <v>5468</v>
      </c>
      <c r="L22" s="52">
        <f>505+2254</f>
        <v>2759</v>
      </c>
      <c r="M22" s="52">
        <f>440+2269</f>
        <v>2709</v>
      </c>
      <c r="N22" s="51">
        <f t="shared" si="8"/>
        <v>732</v>
      </c>
      <c r="O22" s="52">
        <v>384</v>
      </c>
      <c r="P22" s="53">
        <v>348</v>
      </c>
      <c r="Q22" s="51">
        <f t="shared" si="9"/>
        <v>40</v>
      </c>
      <c r="R22" s="51">
        <v>20</v>
      </c>
      <c r="S22" s="51">
        <v>20</v>
      </c>
      <c r="T22" s="49"/>
      <c r="U22" s="55" t="s">
        <v>47</v>
      </c>
    </row>
    <row r="23" spans="1:23" ht="15" customHeight="1" x14ac:dyDescent="0.25">
      <c r="A23" s="49"/>
      <c r="B23" s="49" t="s">
        <v>48</v>
      </c>
      <c r="C23" s="49"/>
      <c r="D23" s="50"/>
      <c r="E23" s="51">
        <f t="shared" si="4"/>
        <v>10936</v>
      </c>
      <c r="F23" s="51">
        <f t="shared" si="5"/>
        <v>5566</v>
      </c>
      <c r="G23" s="51">
        <f t="shared" si="5"/>
        <v>5370</v>
      </c>
      <c r="H23" s="51">
        <f t="shared" si="6"/>
        <v>4939</v>
      </c>
      <c r="I23" s="52">
        <f>1105+1455</f>
        <v>2560</v>
      </c>
      <c r="J23" s="52">
        <f>1071+1308</f>
        <v>2379</v>
      </c>
      <c r="K23" s="51">
        <f t="shared" si="7"/>
        <v>5199</v>
      </c>
      <c r="L23" s="52">
        <f>459+2146</f>
        <v>2605</v>
      </c>
      <c r="M23" s="52">
        <f>399+2195</f>
        <v>2594</v>
      </c>
      <c r="N23" s="51">
        <f t="shared" si="8"/>
        <v>764</v>
      </c>
      <c r="O23" s="52">
        <v>384</v>
      </c>
      <c r="P23" s="53">
        <v>380</v>
      </c>
      <c r="Q23" s="51">
        <f t="shared" si="9"/>
        <v>34</v>
      </c>
      <c r="R23" s="51">
        <v>17</v>
      </c>
      <c r="S23" s="51">
        <v>17</v>
      </c>
      <c r="T23" s="49"/>
      <c r="U23" s="55" t="s">
        <v>49</v>
      </c>
    </row>
    <row r="24" spans="1:23" ht="15" customHeight="1" x14ac:dyDescent="0.25">
      <c r="A24" s="49"/>
      <c r="B24" s="49" t="s">
        <v>50</v>
      </c>
      <c r="C24" s="49"/>
      <c r="D24" s="50"/>
      <c r="E24" s="51">
        <f t="shared" si="4"/>
        <v>11309</v>
      </c>
      <c r="F24" s="51">
        <f t="shared" si="5"/>
        <v>5841</v>
      </c>
      <c r="G24" s="51">
        <f t="shared" si="5"/>
        <v>5468</v>
      </c>
      <c r="H24" s="51">
        <f t="shared" si="6"/>
        <v>5069</v>
      </c>
      <c r="I24" s="52">
        <f>1088+1535</f>
        <v>2623</v>
      </c>
      <c r="J24" s="52">
        <f>1049+1397</f>
        <v>2446</v>
      </c>
      <c r="K24" s="51">
        <f t="shared" si="7"/>
        <v>5414</v>
      </c>
      <c r="L24" s="52">
        <f>492+2273</f>
        <v>2765</v>
      </c>
      <c r="M24" s="52">
        <f>457+2192</f>
        <v>2649</v>
      </c>
      <c r="N24" s="51">
        <f t="shared" si="8"/>
        <v>794</v>
      </c>
      <c r="O24" s="52">
        <v>436</v>
      </c>
      <c r="P24" s="53">
        <v>358</v>
      </c>
      <c r="Q24" s="51">
        <f t="shared" si="9"/>
        <v>32</v>
      </c>
      <c r="R24" s="51">
        <v>17</v>
      </c>
      <c r="S24" s="51">
        <v>15</v>
      </c>
      <c r="T24" s="49"/>
      <c r="U24" s="55" t="s">
        <v>51</v>
      </c>
    </row>
    <row r="25" spans="1:23" s="47" customFormat="1" ht="16.5" customHeight="1" x14ac:dyDescent="0.25">
      <c r="A25" s="42" t="s">
        <v>52</v>
      </c>
      <c r="B25" s="42"/>
      <c r="C25" s="42"/>
      <c r="D25" s="43"/>
      <c r="E25" s="44">
        <f t="shared" ref="E25:R25" si="11">SUM(E26:E28)</f>
        <v>12409</v>
      </c>
      <c r="F25" s="48">
        <f t="shared" si="5"/>
        <v>6280</v>
      </c>
      <c r="G25" s="48">
        <f t="shared" si="5"/>
        <v>6129</v>
      </c>
      <c r="H25" s="44">
        <f t="shared" si="11"/>
        <v>3095</v>
      </c>
      <c r="I25" s="44">
        <f t="shared" si="11"/>
        <v>1757</v>
      </c>
      <c r="J25" s="44">
        <f t="shared" si="11"/>
        <v>1338</v>
      </c>
      <c r="K25" s="44">
        <f t="shared" si="11"/>
        <v>7910</v>
      </c>
      <c r="L25" s="44">
        <f t="shared" si="11"/>
        <v>3740</v>
      </c>
      <c r="M25" s="44">
        <f t="shared" si="11"/>
        <v>4170</v>
      </c>
      <c r="N25" s="44">
        <f t="shared" si="11"/>
        <v>1256</v>
      </c>
      <c r="O25" s="44">
        <f t="shared" si="11"/>
        <v>700</v>
      </c>
      <c r="P25" s="44">
        <f t="shared" si="11"/>
        <v>556</v>
      </c>
      <c r="Q25" s="44">
        <f t="shared" si="11"/>
        <v>148</v>
      </c>
      <c r="R25" s="44">
        <f t="shared" si="11"/>
        <v>83</v>
      </c>
      <c r="S25" s="44">
        <f>SUM(S26:S28)</f>
        <v>65</v>
      </c>
      <c r="T25" s="45" t="s">
        <v>53</v>
      </c>
      <c r="U25" s="42"/>
      <c r="V25" s="46"/>
      <c r="W25" s="46"/>
    </row>
    <row r="26" spans="1:23" ht="15" customHeight="1" x14ac:dyDescent="0.25">
      <c r="A26" s="49"/>
      <c r="B26" s="49" t="s">
        <v>54</v>
      </c>
      <c r="C26" s="49"/>
      <c r="D26" s="50"/>
      <c r="E26" s="51">
        <f t="shared" si="4"/>
        <v>4458</v>
      </c>
      <c r="F26" s="51">
        <f t="shared" si="5"/>
        <v>2272</v>
      </c>
      <c r="G26" s="51">
        <f t="shared" si="5"/>
        <v>2186</v>
      </c>
      <c r="H26" s="51">
        <f t="shared" si="6"/>
        <v>1149</v>
      </c>
      <c r="I26" s="52">
        <f>292+371</f>
        <v>663</v>
      </c>
      <c r="J26" s="52">
        <f>195+291</f>
        <v>486</v>
      </c>
      <c r="K26" s="51">
        <f t="shared" si="7"/>
        <v>2757</v>
      </c>
      <c r="L26" s="52">
        <f>56+1244</f>
        <v>1300</v>
      </c>
      <c r="M26" s="52">
        <f>48+1409</f>
        <v>1457</v>
      </c>
      <c r="N26" s="51">
        <f t="shared" si="8"/>
        <v>483</v>
      </c>
      <c r="O26" s="52">
        <v>266</v>
      </c>
      <c r="P26" s="53">
        <v>217</v>
      </c>
      <c r="Q26" s="51">
        <f t="shared" si="9"/>
        <v>69</v>
      </c>
      <c r="R26" s="51">
        <v>43</v>
      </c>
      <c r="S26" s="51">
        <v>26</v>
      </c>
      <c r="T26" s="49"/>
      <c r="U26" s="55" t="s">
        <v>55</v>
      </c>
    </row>
    <row r="27" spans="1:23" ht="15" customHeight="1" x14ac:dyDescent="0.25">
      <c r="A27" s="49"/>
      <c r="B27" s="49" t="s">
        <v>56</v>
      </c>
      <c r="C27" s="49"/>
      <c r="D27" s="50"/>
      <c r="E27" s="51">
        <f t="shared" si="4"/>
        <v>4072</v>
      </c>
      <c r="F27" s="51">
        <f t="shared" si="5"/>
        <v>2045</v>
      </c>
      <c r="G27" s="51">
        <f t="shared" si="5"/>
        <v>2027</v>
      </c>
      <c r="H27" s="51">
        <f t="shared" si="6"/>
        <v>1055</v>
      </c>
      <c r="I27" s="52">
        <f>246+361</f>
        <v>607</v>
      </c>
      <c r="J27" s="52">
        <f>181+267</f>
        <v>448</v>
      </c>
      <c r="K27" s="51">
        <f t="shared" si="7"/>
        <v>2546</v>
      </c>
      <c r="L27" s="52">
        <f>47+1133</f>
        <v>1180</v>
      </c>
      <c r="M27" s="52">
        <f>51+1315</f>
        <v>1366</v>
      </c>
      <c r="N27" s="51">
        <f t="shared" si="8"/>
        <v>432</v>
      </c>
      <c r="O27" s="52">
        <v>241</v>
      </c>
      <c r="P27" s="57">
        <v>191</v>
      </c>
      <c r="Q27" s="51">
        <f t="shared" si="9"/>
        <v>39</v>
      </c>
      <c r="R27" s="51">
        <v>17</v>
      </c>
      <c r="S27" s="51">
        <v>22</v>
      </c>
      <c r="T27" s="49"/>
      <c r="U27" s="55" t="s">
        <v>57</v>
      </c>
    </row>
    <row r="28" spans="1:23" ht="15" customHeight="1" x14ac:dyDescent="0.25">
      <c r="A28" s="49"/>
      <c r="B28" s="49" t="s">
        <v>58</v>
      </c>
      <c r="C28" s="49"/>
      <c r="D28" s="50"/>
      <c r="E28" s="51">
        <f t="shared" si="4"/>
        <v>3879</v>
      </c>
      <c r="F28" s="51">
        <f t="shared" si="5"/>
        <v>1963</v>
      </c>
      <c r="G28" s="51">
        <f t="shared" si="5"/>
        <v>1916</v>
      </c>
      <c r="H28" s="51">
        <f t="shared" si="6"/>
        <v>891</v>
      </c>
      <c r="I28" s="52">
        <f>193+294</f>
        <v>487</v>
      </c>
      <c r="J28" s="52">
        <f>140+264</f>
        <v>404</v>
      </c>
      <c r="K28" s="51">
        <f t="shared" si="7"/>
        <v>2607</v>
      </c>
      <c r="L28" s="52">
        <f>55+1205</f>
        <v>1260</v>
      </c>
      <c r="M28" s="52">
        <f>45+1302</f>
        <v>1347</v>
      </c>
      <c r="N28" s="51">
        <f t="shared" si="8"/>
        <v>341</v>
      </c>
      <c r="O28" s="52">
        <v>193</v>
      </c>
      <c r="P28" s="56">
        <v>148</v>
      </c>
      <c r="Q28" s="51">
        <f t="shared" si="9"/>
        <v>40</v>
      </c>
      <c r="R28" s="51">
        <v>23</v>
      </c>
      <c r="S28" s="51">
        <v>17</v>
      </c>
      <c r="T28" s="49"/>
      <c r="U28" s="55" t="s">
        <v>59</v>
      </c>
    </row>
    <row r="29" spans="1:23" s="47" customFormat="1" ht="16.5" customHeight="1" x14ac:dyDescent="0.25">
      <c r="A29" s="42" t="s">
        <v>60</v>
      </c>
      <c r="B29" s="42"/>
      <c r="C29" s="42"/>
      <c r="D29" s="43"/>
      <c r="E29" s="44">
        <f t="shared" ref="E29:R29" si="12">SUM(E30:E32)</f>
        <v>5761</v>
      </c>
      <c r="F29" s="48">
        <f t="shared" si="5"/>
        <v>2474</v>
      </c>
      <c r="G29" s="48">
        <f t="shared" si="5"/>
        <v>3287</v>
      </c>
      <c r="H29" s="44">
        <f t="shared" si="12"/>
        <v>313</v>
      </c>
      <c r="I29" s="44">
        <f t="shared" si="12"/>
        <v>146</v>
      </c>
      <c r="J29" s="44">
        <f t="shared" si="12"/>
        <v>167</v>
      </c>
      <c r="K29" s="44">
        <f t="shared" si="12"/>
        <v>5140</v>
      </c>
      <c r="L29" s="44">
        <f>SUM(L30:L32)</f>
        <v>2135</v>
      </c>
      <c r="M29" s="44">
        <f t="shared" si="12"/>
        <v>3005</v>
      </c>
      <c r="N29" s="44">
        <f t="shared" si="12"/>
        <v>278</v>
      </c>
      <c r="O29" s="44">
        <f t="shared" si="12"/>
        <v>179</v>
      </c>
      <c r="P29" s="44">
        <f t="shared" si="12"/>
        <v>99</v>
      </c>
      <c r="Q29" s="44">
        <f t="shared" si="12"/>
        <v>30</v>
      </c>
      <c r="R29" s="44">
        <f t="shared" si="12"/>
        <v>14</v>
      </c>
      <c r="S29" s="44">
        <f>SUM(S30:S32)</f>
        <v>16</v>
      </c>
      <c r="T29" s="45" t="s">
        <v>61</v>
      </c>
      <c r="U29" s="42"/>
      <c r="V29" s="46"/>
      <c r="W29" s="46"/>
    </row>
    <row r="30" spans="1:23" ht="15" customHeight="1" x14ac:dyDescent="0.25">
      <c r="A30" s="49"/>
      <c r="B30" s="49" t="s">
        <v>62</v>
      </c>
      <c r="C30" s="49"/>
      <c r="D30" s="50"/>
      <c r="E30" s="51">
        <f t="shared" si="4"/>
        <v>2117</v>
      </c>
      <c r="F30" s="51">
        <f t="shared" si="5"/>
        <v>915</v>
      </c>
      <c r="G30" s="51">
        <f t="shared" si="5"/>
        <v>1202</v>
      </c>
      <c r="H30" s="51">
        <f t="shared" si="6"/>
        <v>114</v>
      </c>
      <c r="I30" s="52">
        <v>55</v>
      </c>
      <c r="J30" s="52">
        <v>59</v>
      </c>
      <c r="K30" s="51">
        <f t="shared" si="7"/>
        <v>1876</v>
      </c>
      <c r="L30" s="52">
        <f>39+748</f>
        <v>787</v>
      </c>
      <c r="M30" s="52">
        <f>38+1051</f>
        <v>1089</v>
      </c>
      <c r="N30" s="51">
        <f t="shared" si="8"/>
        <v>111</v>
      </c>
      <c r="O30" s="52">
        <v>68</v>
      </c>
      <c r="P30" s="53">
        <v>43</v>
      </c>
      <c r="Q30" s="51">
        <f t="shared" ref="Q30:Q32" si="13">+R30+S30</f>
        <v>16</v>
      </c>
      <c r="R30" s="51">
        <v>5</v>
      </c>
      <c r="S30" s="51">
        <v>11</v>
      </c>
      <c r="T30" s="49"/>
      <c r="U30" s="55" t="s">
        <v>63</v>
      </c>
    </row>
    <row r="31" spans="1:23" ht="15" customHeight="1" x14ac:dyDescent="0.25">
      <c r="A31" s="49"/>
      <c r="B31" s="49" t="s">
        <v>64</v>
      </c>
      <c r="C31" s="49"/>
      <c r="D31" s="50"/>
      <c r="E31" s="51">
        <f t="shared" si="4"/>
        <v>1894</v>
      </c>
      <c r="F31" s="51">
        <f t="shared" si="5"/>
        <v>809</v>
      </c>
      <c r="G31" s="51">
        <f t="shared" si="5"/>
        <v>1085</v>
      </c>
      <c r="H31" s="51">
        <f t="shared" si="6"/>
        <v>100</v>
      </c>
      <c r="I31" s="52">
        <v>47</v>
      </c>
      <c r="J31" s="52">
        <v>53</v>
      </c>
      <c r="K31" s="51">
        <f t="shared" si="7"/>
        <v>1704</v>
      </c>
      <c r="L31" s="52">
        <f>27+670</f>
        <v>697</v>
      </c>
      <c r="M31" s="52">
        <f>33+974</f>
        <v>1007</v>
      </c>
      <c r="N31" s="51">
        <f t="shared" si="8"/>
        <v>82</v>
      </c>
      <c r="O31" s="52">
        <v>59</v>
      </c>
      <c r="P31" s="53">
        <v>23</v>
      </c>
      <c r="Q31" s="51">
        <f t="shared" si="13"/>
        <v>8</v>
      </c>
      <c r="R31" s="51">
        <v>6</v>
      </c>
      <c r="S31" s="51">
        <v>2</v>
      </c>
      <c r="T31" s="49"/>
      <c r="U31" s="55" t="s">
        <v>65</v>
      </c>
    </row>
    <row r="32" spans="1:23" ht="15" customHeight="1" x14ac:dyDescent="0.25">
      <c r="A32" s="49"/>
      <c r="B32" s="49" t="s">
        <v>66</v>
      </c>
      <c r="C32" s="49"/>
      <c r="D32" s="50"/>
      <c r="E32" s="51">
        <f t="shared" si="4"/>
        <v>1750</v>
      </c>
      <c r="F32" s="51">
        <f t="shared" si="5"/>
        <v>750</v>
      </c>
      <c r="G32" s="51">
        <f t="shared" si="5"/>
        <v>1000</v>
      </c>
      <c r="H32" s="51">
        <f t="shared" si="6"/>
        <v>99</v>
      </c>
      <c r="I32" s="52">
        <v>44</v>
      </c>
      <c r="J32" s="52">
        <v>55</v>
      </c>
      <c r="K32" s="51">
        <f t="shared" si="7"/>
        <v>1560</v>
      </c>
      <c r="L32" s="52">
        <f>26+625</f>
        <v>651</v>
      </c>
      <c r="M32" s="52">
        <f>23+886</f>
        <v>909</v>
      </c>
      <c r="N32" s="51">
        <f t="shared" si="8"/>
        <v>85</v>
      </c>
      <c r="O32" s="52">
        <v>52</v>
      </c>
      <c r="P32" s="53">
        <v>33</v>
      </c>
      <c r="Q32" s="51">
        <f t="shared" si="13"/>
        <v>6</v>
      </c>
      <c r="R32" s="51">
        <v>3</v>
      </c>
      <c r="S32" s="51">
        <v>3</v>
      </c>
      <c r="T32" s="49"/>
      <c r="U32" s="49" t="s">
        <v>67</v>
      </c>
    </row>
    <row r="33" spans="1:22" s="47" customFormat="1" ht="16.5" customHeight="1" x14ac:dyDescent="0.25">
      <c r="A33" s="58" t="s">
        <v>68</v>
      </c>
      <c r="B33" s="58"/>
      <c r="C33" s="58"/>
      <c r="D33" s="59"/>
      <c r="E33" s="60">
        <f>+F33+G33</f>
        <v>7365</v>
      </c>
      <c r="F33" s="61">
        <f t="shared" ref="F33" si="14">+I33+L33+O33+R33</f>
        <v>3556</v>
      </c>
      <c r="G33" s="61">
        <f>+J33+M33+P33+S33</f>
        <v>3809</v>
      </c>
      <c r="H33" s="61">
        <f t="shared" ref="H33" si="15">SUM(H34:H37)</f>
        <v>0</v>
      </c>
      <c r="I33" s="61">
        <f t="shared" ref="I33:P33" si="16">SUM(I34:I37)</f>
        <v>0</v>
      </c>
      <c r="J33" s="61">
        <f t="shared" si="16"/>
        <v>0</v>
      </c>
      <c r="K33" s="61">
        <f t="shared" si="16"/>
        <v>0</v>
      </c>
      <c r="L33" s="61">
        <f t="shared" si="16"/>
        <v>0</v>
      </c>
      <c r="M33" s="61">
        <f t="shared" si="16"/>
        <v>0</v>
      </c>
      <c r="N33" s="61">
        <f t="shared" si="16"/>
        <v>0</v>
      </c>
      <c r="O33" s="61">
        <f t="shared" si="16"/>
        <v>0</v>
      </c>
      <c r="P33" s="61">
        <f t="shared" si="16"/>
        <v>0</v>
      </c>
      <c r="Q33" s="60">
        <f>+R33+S33</f>
        <v>7365</v>
      </c>
      <c r="R33" s="60">
        <f>2699+857</f>
        <v>3556</v>
      </c>
      <c r="S33" s="60">
        <f>2204+1605</f>
        <v>3809</v>
      </c>
      <c r="T33" s="62" t="s">
        <v>69</v>
      </c>
      <c r="U33" s="63"/>
      <c r="V33" s="46"/>
    </row>
    <row r="34" spans="1:22" ht="3" customHeight="1" x14ac:dyDescent="0.25">
      <c r="O34" s="64" t="s">
        <v>70</v>
      </c>
    </row>
    <row r="35" spans="1:22" x14ac:dyDescent="0.25">
      <c r="B35" s="11" t="s">
        <v>71</v>
      </c>
      <c r="M35" s="11" t="s">
        <v>72</v>
      </c>
      <c r="O35" s="64"/>
    </row>
    <row r="36" spans="1:22" s="65" customFormat="1" ht="18.75" customHeight="1" x14ac:dyDescent="0.25">
      <c r="B36" s="65" t="s">
        <v>73</v>
      </c>
      <c r="M36" s="65" t="s">
        <v>74</v>
      </c>
    </row>
    <row r="37" spans="1:22" s="65" customFormat="1" ht="18.75" customHeight="1" x14ac:dyDescent="0.25">
      <c r="E37" s="66"/>
      <c r="F37" s="66"/>
      <c r="G37" s="66"/>
    </row>
    <row r="38" spans="1:22" ht="18.75" customHeight="1" x14ac:dyDescent="0.25">
      <c r="B38" s="65"/>
      <c r="C38" s="65"/>
      <c r="D38" s="65"/>
      <c r="E38" s="66"/>
      <c r="F38" s="66"/>
      <c r="G38" s="66"/>
      <c r="H38" s="65"/>
      <c r="I38" s="65"/>
      <c r="J38" s="65"/>
      <c r="K38" s="65"/>
      <c r="L38" s="65"/>
      <c r="M38" s="65"/>
    </row>
    <row r="39" spans="1:22" ht="16.5" customHeight="1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</sheetData>
  <mergeCells count="24">
    <mergeCell ref="E8:G8"/>
    <mergeCell ref="H8:J8"/>
    <mergeCell ref="K8:M8"/>
    <mergeCell ref="N8:P8"/>
    <mergeCell ref="Q8:S8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A3:D10"/>
    <mergeCell ref="H3:S3"/>
    <mergeCell ref="T3:U10"/>
    <mergeCell ref="K4:M4"/>
    <mergeCell ref="E5:G5"/>
    <mergeCell ref="H5:J5"/>
    <mergeCell ref="K5:M5"/>
    <mergeCell ref="N5:P5"/>
    <mergeCell ref="Q5:S5"/>
    <mergeCell ref="E6:G6"/>
  </mergeCells>
  <pageMargins left="0.55118110236220474" right="0.35433070866141736" top="0.78740157480314965" bottom="0.51181102362204722" header="0.51181102362204722" footer="0.43307086614173229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T-3.5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2019-07-04T08:33:20Z</dcterms:created>
  <dcterms:modified xsi:type="dcterms:W3CDTF">2019-07-04T08:33:20Z</dcterms:modified>
</cp:coreProperties>
</file>