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5.2" sheetId="1" r:id="rId1"/>
  </sheets>
  <definedNames>
    <definedName name="_xlnm.Print_Area" localSheetId="0">'T-15.2'!$A$1:$Q$31</definedName>
  </definedNames>
  <calcPr calcId="144525"/>
</workbook>
</file>

<file path=xl/calcChain.xml><?xml version="1.0" encoding="utf-8"?>
<calcChain xmlns="http://schemas.openxmlformats.org/spreadsheetml/2006/main">
  <c r="G10" i="1" l="1"/>
  <c r="H10" i="1"/>
  <c r="F10" i="1" s="1"/>
  <c r="I10" i="1"/>
  <c r="J10" i="1"/>
  <c r="L10" i="1"/>
  <c r="K10" i="1" s="1"/>
  <c r="N10" i="1"/>
  <c r="O10" i="1"/>
  <c r="G11" i="1"/>
  <c r="F11" i="1" s="1"/>
  <c r="H11" i="1"/>
  <c r="I11" i="1"/>
  <c r="J11" i="1"/>
  <c r="L11" i="1"/>
  <c r="N11" i="1"/>
  <c r="K11" i="1" s="1"/>
  <c r="O11" i="1"/>
  <c r="G12" i="1"/>
  <c r="H12" i="1"/>
  <c r="F12" i="1" s="1"/>
  <c r="I12" i="1"/>
  <c r="L12" i="1"/>
  <c r="N12" i="1"/>
  <c r="K12" i="1" s="1"/>
  <c r="O12" i="1"/>
  <c r="G13" i="1"/>
  <c r="H13" i="1"/>
  <c r="F13" i="1" s="1"/>
  <c r="I13" i="1"/>
  <c r="L13" i="1"/>
  <c r="N13" i="1"/>
  <c r="K13" i="1" s="1"/>
  <c r="O13" i="1"/>
  <c r="G14" i="1"/>
  <c r="H14" i="1"/>
  <c r="F14" i="1" s="1"/>
  <c r="I14" i="1"/>
  <c r="L14" i="1"/>
  <c r="N14" i="1"/>
  <c r="K14" i="1" s="1"/>
  <c r="O14" i="1"/>
  <c r="G15" i="1"/>
  <c r="H15" i="1"/>
  <c r="F15" i="1" s="1"/>
  <c r="I15" i="1"/>
  <c r="L15" i="1"/>
  <c r="N15" i="1"/>
  <c r="K15" i="1" s="1"/>
  <c r="O15" i="1"/>
  <c r="G16" i="1"/>
  <c r="H16" i="1"/>
  <c r="F16" i="1" s="1"/>
  <c r="I16" i="1"/>
  <c r="L16" i="1"/>
  <c r="N16" i="1"/>
  <c r="K16" i="1" s="1"/>
  <c r="O16" i="1"/>
  <c r="G17" i="1"/>
  <c r="H17" i="1"/>
  <c r="F17" i="1" s="1"/>
  <c r="I17" i="1"/>
  <c r="L17" i="1"/>
  <c r="N17" i="1"/>
  <c r="K17" i="1" s="1"/>
  <c r="O17" i="1"/>
  <c r="G18" i="1"/>
  <c r="H18" i="1"/>
  <c r="F18" i="1" s="1"/>
  <c r="I18" i="1"/>
  <c r="L18" i="1"/>
  <c r="N18" i="1"/>
  <c r="K18" i="1" s="1"/>
  <c r="O18" i="1"/>
  <c r="G19" i="1"/>
  <c r="H19" i="1"/>
  <c r="F19" i="1" s="1"/>
  <c r="I19" i="1"/>
  <c r="L19" i="1"/>
  <c r="N19" i="1"/>
  <c r="K19" i="1" s="1"/>
  <c r="O19" i="1"/>
  <c r="G20" i="1"/>
  <c r="H20" i="1"/>
  <c r="F20" i="1" s="1"/>
  <c r="I20" i="1"/>
  <c r="L20" i="1"/>
  <c r="N20" i="1"/>
  <c r="K20" i="1" s="1"/>
  <c r="O20" i="1"/>
  <c r="G21" i="1"/>
  <c r="H21" i="1"/>
  <c r="F21" i="1" s="1"/>
  <c r="I21" i="1"/>
  <c r="L21" i="1"/>
  <c r="N21" i="1"/>
  <c r="K21" i="1" s="1"/>
  <c r="O21" i="1"/>
  <c r="G22" i="1"/>
  <c r="H22" i="1"/>
  <c r="F22" i="1" s="1"/>
  <c r="I22" i="1"/>
  <c r="J22" i="1"/>
  <c r="L22" i="1"/>
  <c r="K22" i="1" s="1"/>
  <c r="N22" i="1"/>
  <c r="O22" i="1"/>
  <c r="G23" i="1"/>
  <c r="F23" i="1" s="1"/>
  <c r="H23" i="1"/>
  <c r="I23" i="1"/>
  <c r="J23" i="1"/>
  <c r="K23" i="1"/>
  <c r="L23" i="1"/>
  <c r="N23" i="1"/>
  <c r="O23" i="1"/>
</calcChain>
</file>

<file path=xl/sharedStrings.xml><?xml version="1.0" encoding="utf-8"?>
<sst xmlns="http://schemas.openxmlformats.org/spreadsheetml/2006/main" count="60" uniqueCount="50">
  <si>
    <t xml:space="preserve"> Source :   Bank of Thailand</t>
  </si>
  <si>
    <t xml:space="preserve">     ที่มา :   ธนาคารแห่งประเทศไทย</t>
  </si>
  <si>
    <t xml:space="preserve">                              -</t>
  </si>
  <si>
    <t>2557  (2014)</t>
  </si>
  <si>
    <t>2556  (2013)</t>
  </si>
  <si>
    <t>2555  (2012)</t>
  </si>
  <si>
    <t>2554  (2011)</t>
  </si>
  <si>
    <t>2553  (2010)</t>
  </si>
  <si>
    <t>2552  (2009)</t>
  </si>
  <si>
    <t>2551  (2008)</t>
  </si>
  <si>
    <t>2550  (2007)</t>
  </si>
  <si>
    <t>2549  (2006)</t>
  </si>
  <si>
    <t>2548  (2005)</t>
  </si>
  <si>
    <t>2547  (2004)</t>
  </si>
  <si>
    <t>2546  (2003)</t>
  </si>
  <si>
    <t>2545  (2002)</t>
  </si>
  <si>
    <t>2544  (2001)</t>
  </si>
  <si>
    <t>(</t>
  </si>
  <si>
    <t>Others</t>
  </si>
  <si>
    <t>Bills</t>
  </si>
  <si>
    <t>Loan</t>
  </si>
  <si>
    <t>Overdraft</t>
  </si>
  <si>
    <t>Total</t>
  </si>
  <si>
    <t xml:space="preserve"> deposit</t>
  </si>
  <si>
    <t>Demand deposit</t>
  </si>
  <si>
    <t>branche</t>
  </si>
  <si>
    <t>อื่นๆ</t>
  </si>
  <si>
    <t>ตั๋วเงิน</t>
  </si>
  <si>
    <t>เงินให้กู้ยืม</t>
  </si>
  <si>
    <t>เงินเบิกเกินบัญชี</t>
  </si>
  <si>
    <t>รวม</t>
  </si>
  <si>
    <t>เงินฝากอื่นๆ</t>
  </si>
  <si>
    <t>Saving</t>
  </si>
  <si>
    <t>ทวงถาม</t>
  </si>
  <si>
    <t>Time</t>
  </si>
  <si>
    <t xml:space="preserve">Number of </t>
  </si>
  <si>
    <t>Year</t>
  </si>
  <si>
    <t>ออมทรัพย์</t>
  </si>
  <si>
    <t>จ่ายคืนเมื่อ</t>
  </si>
  <si>
    <t>ประจำ</t>
  </si>
  <si>
    <t>สำนักงาน</t>
  </si>
  <si>
    <t>ปี</t>
  </si>
  <si>
    <t>สินเชื่อ Credits</t>
  </si>
  <si>
    <t>เงินฝาก  Deposits</t>
  </si>
  <si>
    <t>จำนวน</t>
  </si>
  <si>
    <t>(ล้านบาท : Million Baht)</t>
  </si>
  <si>
    <t>Deposits and Credits of Commercial Bank : 2001 - 2014</t>
  </si>
  <si>
    <t>Table</t>
  </si>
  <si>
    <t xml:space="preserve"> เงินรับฝาก และเงินให้สินเชื่อของธนาคารพาณิชย์ พ.ศ. 2544 - 2557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</si>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</sst>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7" formatCode="#,##0.0____"/>
    <numFmt numFmtId="188" formatCode="_-* #,##0.0_-;\-* #,##0.0_-;_-* &quot;-&quot;??_-;_-@_-________________________"/>
    <numFmt numFmtId="189" formatCode="_-* #,##0.0_-;\-* #,##0.0_-;_-* &quot;-&quot;_-;_-@_-"/>
    <numFmt numFmtId="190" formatCode="#,##0.0______"/>
    <numFmt numFmtId="191" formatCode="#,##0.0__"/>
    <numFmt numFmtId="192" formatCode="0.0"/>
  </numFmts>
  <fonts count="4" x14ac:knownFonts="1">
    <font>
      <sz val="14"/>
      <name val="Cordia New"/>
      <charset val="22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88" fontId="1" fillId="0" borderId="6" xfId="0" applyNumberFormat="1" applyFont="1" applyBorder="1" applyAlignment="1">
      <alignment horizontal="center"/>
    </xf>
    <xf numFmtId="187" fontId="1" fillId="0" borderId="5" xfId="0" applyNumberFormat="1" applyFont="1" applyBorder="1" applyAlignment="1">
      <alignment horizontal="right"/>
    </xf>
    <xf numFmtId="189" fontId="1" fillId="0" borderId="7" xfId="0" applyNumberFormat="1" applyFont="1" applyBorder="1" applyAlignment="1">
      <alignment horizontal="right" vertical="center"/>
    </xf>
    <xf numFmtId="189" fontId="1" fillId="0" borderId="6" xfId="0" applyNumberFormat="1" applyFont="1" applyBorder="1"/>
    <xf numFmtId="190" fontId="1" fillId="0" borderId="6" xfId="0" applyNumberFormat="1" applyFont="1" applyBorder="1" applyAlignment="1">
      <alignment horizontal="right"/>
    </xf>
    <xf numFmtId="190" fontId="1" fillId="0" borderId="5" xfId="0" applyNumberFormat="1" applyFont="1" applyBorder="1" applyAlignment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91" fontId="1" fillId="0" borderId="6" xfId="0" applyNumberFormat="1" applyFont="1" applyBorder="1" applyAlignment="1">
      <alignment horizontal="right"/>
    </xf>
    <xf numFmtId="189" fontId="1" fillId="0" borderId="0" xfId="0" applyNumberFormat="1" applyFont="1"/>
    <xf numFmtId="189" fontId="1" fillId="0" borderId="6" xfId="0" applyNumberFormat="1" applyFont="1" applyBorder="1" applyAlignment="1"/>
    <xf numFmtId="188" fontId="1" fillId="0" borderId="5" xfId="0" applyNumberFormat="1" applyFont="1" applyBorder="1" applyAlignment="1">
      <alignment horizontal="left"/>
    </xf>
    <xf numFmtId="0" fontId="1" fillId="0" borderId="8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192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0</xdr:row>
      <xdr:rowOff>0</xdr:rowOff>
    </xdr:from>
    <xdr:to>
      <xdr:col>17</xdr:col>
      <xdr:colOff>228600</xdr:colOff>
      <xdr:row>31</xdr:row>
      <xdr:rowOff>104775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9582150" y="0"/>
          <a:ext cx="657225" cy="6953250"/>
          <a:chOff x="9582070" y="0"/>
          <a:chExt cx="417347" cy="664841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36507" y="1794161"/>
            <a:ext cx="326619" cy="44990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Money, Finance, Insurance and Balance of Payments Statistics</a:t>
            </a:r>
            <a:endParaRPr lang="th-TH" sz="12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82070" y="6247687"/>
            <a:ext cx="417347" cy="4007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0"/>
          <xdr:cNvCxnSpPr>
            <a:cxnSpLocks noChangeShapeType="1"/>
          </xdr:cNvCxnSpPr>
        </xdr:nvCxnSpPr>
        <xdr:spPr bwMode="auto">
          <a:xfrm rot="5400000">
            <a:off x="6587704" y="3138184"/>
            <a:ext cx="6300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P31"/>
  <sheetViews>
    <sheetView showGridLines="0" tabSelected="1" topLeftCell="A19" zoomScaleNormal="100" workbookViewId="0">
      <selection activeCell="I13" sqref="I13"/>
    </sheetView>
  </sheetViews>
  <sheetFormatPr defaultRowHeight="17.25" x14ac:dyDescent="0.3"/>
  <cols>
    <col min="1" max="1" width="1.7109375" style="1" customWidth="1"/>
    <col min="2" max="2" width="6.140625" style="1" customWidth="1"/>
    <col min="3" max="3" width="5.42578125" style="1" customWidth="1"/>
    <col min="4" max="4" width="6.28515625" style="1" customWidth="1"/>
    <col min="5" max="5" width="10.85546875" style="1" customWidth="1"/>
    <col min="6" max="7" width="10.7109375" style="1" customWidth="1"/>
    <col min="8" max="8" width="13.28515625" style="1" customWidth="1"/>
    <col min="9" max="12" width="10.7109375" style="1" customWidth="1"/>
    <col min="13" max="13" width="3.28515625" style="1" customWidth="1"/>
    <col min="14" max="16" width="10.7109375" style="1" customWidth="1"/>
    <col min="17" max="17" width="6.7109375" style="1" customWidth="1"/>
    <col min="18" max="16384" width="9.140625" style="1"/>
  </cols>
  <sheetData>
    <row r="1" spans="1:16" s="51" customFormat="1" x14ac:dyDescent="0.3">
      <c r="B1" s="52" t="s">
        <v>49</v>
      </c>
      <c r="C1" s="47">
        <v>15.2</v>
      </c>
      <c r="D1" s="52" t="s">
        <v>48</v>
      </c>
    </row>
    <row r="2" spans="1:16" s="44" customFormat="1" ht="18.75" x14ac:dyDescent="0.3">
      <c r="B2" s="50" t="s">
        <v>47</v>
      </c>
      <c r="C2" s="47">
        <v>15.2</v>
      </c>
      <c r="D2" s="46" t="s">
        <v>46</v>
      </c>
      <c r="K2" s="49"/>
      <c r="L2" s="49"/>
      <c r="M2" s="49"/>
      <c r="N2" s="49"/>
      <c r="O2" s="49"/>
      <c r="P2" s="48"/>
    </row>
    <row r="3" spans="1:16" s="44" customFormat="1" x14ac:dyDescent="0.3">
      <c r="B3" s="46"/>
      <c r="C3" s="47"/>
      <c r="D3" s="46"/>
      <c r="K3" s="18"/>
      <c r="L3" s="18"/>
      <c r="M3" s="18"/>
      <c r="N3" s="18"/>
      <c r="O3" s="18"/>
      <c r="P3" s="45" t="s">
        <v>45</v>
      </c>
    </row>
    <row r="4" spans="1:16" s="44" customFormat="1" ht="3" customHeight="1" x14ac:dyDescent="0.3">
      <c r="B4" s="46"/>
      <c r="C4" s="47"/>
      <c r="D4" s="46"/>
      <c r="P4" s="45"/>
    </row>
    <row r="5" spans="1:16" ht="24" customHeight="1" x14ac:dyDescent="0.3">
      <c r="A5" s="43"/>
      <c r="B5" s="42"/>
      <c r="C5" s="42"/>
      <c r="D5" s="41"/>
      <c r="E5" s="40" t="s">
        <v>44</v>
      </c>
      <c r="F5" s="38" t="s">
        <v>43</v>
      </c>
      <c r="G5" s="37"/>
      <c r="H5" s="37"/>
      <c r="I5" s="37"/>
      <c r="J5" s="39"/>
      <c r="K5" s="38" t="s">
        <v>42</v>
      </c>
      <c r="L5" s="37"/>
      <c r="M5" s="37"/>
      <c r="N5" s="37"/>
      <c r="O5" s="37"/>
      <c r="P5" s="37"/>
    </row>
    <row r="6" spans="1:16" ht="24" customHeight="1" x14ac:dyDescent="0.3">
      <c r="A6" s="36" t="s">
        <v>41</v>
      </c>
      <c r="B6" s="36"/>
      <c r="C6" s="36"/>
      <c r="D6" s="35"/>
      <c r="E6" s="17" t="s">
        <v>40</v>
      </c>
      <c r="F6" s="17"/>
      <c r="G6" s="18" t="s">
        <v>39</v>
      </c>
      <c r="H6" s="17" t="s">
        <v>38</v>
      </c>
      <c r="I6" s="17" t="s">
        <v>37</v>
      </c>
      <c r="J6" s="23"/>
      <c r="K6" s="32"/>
      <c r="L6" s="34"/>
      <c r="M6" s="33"/>
      <c r="N6" s="32"/>
      <c r="O6" s="31"/>
      <c r="P6" s="31"/>
    </row>
    <row r="7" spans="1:16" ht="24" customHeight="1" x14ac:dyDescent="0.3">
      <c r="A7" s="36" t="s">
        <v>36</v>
      </c>
      <c r="B7" s="36"/>
      <c r="C7" s="36"/>
      <c r="D7" s="35"/>
      <c r="E7" s="17" t="s">
        <v>35</v>
      </c>
      <c r="F7" s="17" t="s">
        <v>30</v>
      </c>
      <c r="G7" s="17" t="s">
        <v>34</v>
      </c>
      <c r="H7" s="17" t="s">
        <v>33</v>
      </c>
      <c r="I7" s="17" t="s">
        <v>32</v>
      </c>
      <c r="J7" s="17" t="s">
        <v>31</v>
      </c>
      <c r="K7" s="32" t="s">
        <v>30</v>
      </c>
      <c r="L7" s="34" t="s">
        <v>29</v>
      </c>
      <c r="M7" s="33"/>
      <c r="N7" s="32" t="s">
        <v>28</v>
      </c>
      <c r="O7" s="31" t="s">
        <v>27</v>
      </c>
      <c r="P7" s="31" t="s">
        <v>26</v>
      </c>
    </row>
    <row r="8" spans="1:16" ht="22.5" customHeight="1" x14ac:dyDescent="0.3">
      <c r="A8" s="3"/>
      <c r="B8" s="30"/>
      <c r="C8" s="30"/>
      <c r="D8" s="29"/>
      <c r="E8" s="28" t="s">
        <v>25</v>
      </c>
      <c r="F8" s="28" t="s">
        <v>22</v>
      </c>
      <c r="G8" s="28" t="s">
        <v>23</v>
      </c>
      <c r="H8" s="28" t="s">
        <v>24</v>
      </c>
      <c r="I8" s="28" t="s">
        <v>23</v>
      </c>
      <c r="J8" s="28" t="s">
        <v>18</v>
      </c>
      <c r="K8" s="25" t="s">
        <v>22</v>
      </c>
      <c r="L8" s="27" t="s">
        <v>21</v>
      </c>
      <c r="M8" s="26"/>
      <c r="N8" s="25" t="s">
        <v>20</v>
      </c>
      <c r="O8" s="24" t="s">
        <v>19</v>
      </c>
      <c r="P8" s="24" t="s">
        <v>18</v>
      </c>
    </row>
    <row r="9" spans="1:16" ht="3" customHeight="1" x14ac:dyDescent="0.3">
      <c r="A9" s="1" t="s">
        <v>17</v>
      </c>
      <c r="E9" s="23"/>
      <c r="F9" s="10"/>
      <c r="G9" s="8"/>
      <c r="H9" s="8"/>
      <c r="I9" s="8"/>
      <c r="J9" s="8"/>
      <c r="L9" s="9"/>
      <c r="M9" s="10"/>
      <c r="N9" s="23"/>
      <c r="O9" s="10"/>
      <c r="P9" s="7"/>
    </row>
    <row r="10" spans="1:16" ht="24" customHeight="1" x14ac:dyDescent="0.3">
      <c r="C10" s="18" t="s">
        <v>16</v>
      </c>
      <c r="E10" s="17">
        <v>34</v>
      </c>
      <c r="F10" s="12">
        <f>SUM(G10:J10)</f>
        <v>20022.295000000002</v>
      </c>
      <c r="G10" s="12">
        <f>13728994/1000</f>
        <v>13728.994000000001</v>
      </c>
      <c r="H10" s="16">
        <f>381280/1000</f>
        <v>381.28</v>
      </c>
      <c r="I10" s="12">
        <f>5909872/1000</f>
        <v>5909.8720000000003</v>
      </c>
      <c r="J10" s="15">
        <f>2149/1000</f>
        <v>2.149</v>
      </c>
      <c r="K10" s="12">
        <f>SUM(L10:P10)</f>
        <v>9554.0689999999995</v>
      </c>
      <c r="L10" s="21">
        <f>3021243/1000</f>
        <v>3021.2429999999999</v>
      </c>
      <c r="M10" s="20"/>
      <c r="N10" s="12">
        <f>5928673/1000</f>
        <v>5928.6729999999998</v>
      </c>
      <c r="O10" s="12">
        <f>604153/1000</f>
        <v>604.15300000000002</v>
      </c>
      <c r="P10" s="11" t="s">
        <v>2</v>
      </c>
    </row>
    <row r="11" spans="1:16" ht="19.5" customHeight="1" x14ac:dyDescent="0.3">
      <c r="C11" s="18" t="s">
        <v>15</v>
      </c>
      <c r="E11" s="17">
        <v>34</v>
      </c>
      <c r="F11" s="12">
        <f>SUM(G11:J11)</f>
        <v>19807.461999999996</v>
      </c>
      <c r="G11" s="12">
        <f>12656880/1000</f>
        <v>12656.88</v>
      </c>
      <c r="H11" s="16">
        <f>273211/1000</f>
        <v>273.21100000000001</v>
      </c>
      <c r="I11" s="12">
        <f>6876951/1000</f>
        <v>6876.951</v>
      </c>
      <c r="J11" s="15">
        <f>420/1000</f>
        <v>0.42</v>
      </c>
      <c r="K11" s="12">
        <f>SUM(L11:P11)</f>
        <v>12186.689999999999</v>
      </c>
      <c r="L11" s="21">
        <f>3282206/1000</f>
        <v>3282.2060000000001</v>
      </c>
      <c r="M11" s="20"/>
      <c r="N11" s="12">
        <f>7862681/1000</f>
        <v>7862.6809999999996</v>
      </c>
      <c r="O11" s="12">
        <f>1041803/1000</f>
        <v>1041.8030000000001</v>
      </c>
      <c r="P11" s="11" t="s">
        <v>2</v>
      </c>
    </row>
    <row r="12" spans="1:16" ht="19.5" customHeight="1" x14ac:dyDescent="0.3">
      <c r="C12" s="18" t="s">
        <v>14</v>
      </c>
      <c r="E12" s="17">
        <v>36</v>
      </c>
      <c r="F12" s="12">
        <f>SUM(G12:J12)</f>
        <v>20791.564999999999</v>
      </c>
      <c r="G12" s="12">
        <f>11657329/1000</f>
        <v>11657.329</v>
      </c>
      <c r="H12" s="16">
        <f>334034/1000</f>
        <v>334.03399999999999</v>
      </c>
      <c r="I12" s="12">
        <f>8800202/1000</f>
        <v>8800.2019999999993</v>
      </c>
      <c r="J12" s="22">
        <v>0</v>
      </c>
      <c r="K12" s="12">
        <f>SUM(L12:P12)</f>
        <v>12972.678</v>
      </c>
      <c r="L12" s="21">
        <f>3263352/1000</f>
        <v>3263.3519999999999</v>
      </c>
      <c r="M12" s="20"/>
      <c r="N12" s="12">
        <f>7895150/1000</f>
        <v>7895.15</v>
      </c>
      <c r="O12" s="12">
        <f>1814176/1000</f>
        <v>1814.1759999999999</v>
      </c>
      <c r="P12" s="11" t="s">
        <v>2</v>
      </c>
    </row>
    <row r="13" spans="1:16" ht="19.5" customHeight="1" x14ac:dyDescent="0.3">
      <c r="C13" s="18" t="s">
        <v>13</v>
      </c>
      <c r="E13" s="17">
        <v>36</v>
      </c>
      <c r="F13" s="12">
        <f>SUM(G13:J13)</f>
        <v>21244.75</v>
      </c>
      <c r="G13" s="12">
        <f>10785349/1000</f>
        <v>10785.349</v>
      </c>
      <c r="H13" s="16">
        <f>581861/1000</f>
        <v>581.86099999999999</v>
      </c>
      <c r="I13" s="12">
        <f>9877540/1000</f>
        <v>9877.5400000000009</v>
      </c>
      <c r="J13" s="22">
        <v>0</v>
      </c>
      <c r="K13" s="12">
        <f>SUM(L13:P13)</f>
        <v>14166.541000000001</v>
      </c>
      <c r="L13" s="21">
        <f>3038780/1000</f>
        <v>3038.78</v>
      </c>
      <c r="M13" s="20"/>
      <c r="N13" s="12">
        <f>8241475/1000</f>
        <v>8241.4750000000004</v>
      </c>
      <c r="O13" s="12">
        <f>2886286/1000</f>
        <v>2886.2860000000001</v>
      </c>
      <c r="P13" s="11" t="s">
        <v>2</v>
      </c>
    </row>
    <row r="14" spans="1:16" ht="19.5" customHeight="1" x14ac:dyDescent="0.3">
      <c r="C14" s="18" t="s">
        <v>12</v>
      </c>
      <c r="E14" s="17">
        <v>37</v>
      </c>
      <c r="F14" s="12">
        <f>SUM(G14:J14)</f>
        <v>21780</v>
      </c>
      <c r="G14" s="12">
        <f>10806000/1000</f>
        <v>10806</v>
      </c>
      <c r="H14" s="16">
        <f>849000/1000</f>
        <v>849</v>
      </c>
      <c r="I14" s="12">
        <f>10125000/1000</f>
        <v>10125</v>
      </c>
      <c r="J14" s="22">
        <v>0</v>
      </c>
      <c r="K14" s="12">
        <f>SUM(L14:P14)</f>
        <v>15219</v>
      </c>
      <c r="L14" s="21">
        <f>3172000/1000</f>
        <v>3172</v>
      </c>
      <c r="M14" s="20"/>
      <c r="N14" s="12">
        <f>8218000/1000</f>
        <v>8218</v>
      </c>
      <c r="O14" s="12">
        <f>3829000/1000</f>
        <v>3829</v>
      </c>
      <c r="P14" s="11" t="s">
        <v>2</v>
      </c>
    </row>
    <row r="15" spans="1:16" ht="19.5" customHeight="1" x14ac:dyDescent="0.3">
      <c r="C15" s="18" t="s">
        <v>11</v>
      </c>
      <c r="E15" s="17">
        <v>39</v>
      </c>
      <c r="F15" s="12">
        <f>SUM(G15:J15)</f>
        <v>23157</v>
      </c>
      <c r="G15" s="12">
        <f>13150000/1000</f>
        <v>13150</v>
      </c>
      <c r="H15" s="16">
        <f>702000/1000</f>
        <v>702</v>
      </c>
      <c r="I15" s="12">
        <f>9305000/1000</f>
        <v>9305</v>
      </c>
      <c r="J15" s="22">
        <v>0</v>
      </c>
      <c r="K15" s="12">
        <f>SUM(L15:P15)</f>
        <v>16211</v>
      </c>
      <c r="L15" s="21">
        <f>3361000/1000</f>
        <v>3361</v>
      </c>
      <c r="M15" s="20"/>
      <c r="N15" s="12">
        <f>8686000/1000</f>
        <v>8686</v>
      </c>
      <c r="O15" s="12">
        <f>4164000/1000</f>
        <v>4164</v>
      </c>
      <c r="P15" s="11" t="s">
        <v>2</v>
      </c>
    </row>
    <row r="16" spans="1:16" ht="19.5" customHeight="1" x14ac:dyDescent="0.3">
      <c r="C16" s="18" t="s">
        <v>10</v>
      </c>
      <c r="E16" s="17">
        <v>41</v>
      </c>
      <c r="F16" s="12">
        <f>SUM(G16:J16)</f>
        <v>24644</v>
      </c>
      <c r="G16" s="12">
        <f>13677000/1000</f>
        <v>13677</v>
      </c>
      <c r="H16" s="16">
        <f>741000/1000</f>
        <v>741</v>
      </c>
      <c r="I16" s="12">
        <f>10226000/1000</f>
        <v>10226</v>
      </c>
      <c r="J16" s="22">
        <v>0</v>
      </c>
      <c r="K16" s="12">
        <f>SUM(L16:P16)</f>
        <v>17211</v>
      </c>
      <c r="L16" s="21">
        <f>3642000/1000</f>
        <v>3642</v>
      </c>
      <c r="M16" s="20"/>
      <c r="N16" s="12">
        <f>9374000/1000</f>
        <v>9374</v>
      </c>
      <c r="O16" s="12">
        <f>4192000/1000</f>
        <v>4192</v>
      </c>
      <c r="P16" s="19">
        <v>3</v>
      </c>
    </row>
    <row r="17" spans="1:16" ht="19.5" customHeight="1" x14ac:dyDescent="0.3">
      <c r="C17" s="18" t="s">
        <v>9</v>
      </c>
      <c r="E17" s="17">
        <v>46</v>
      </c>
      <c r="F17" s="12">
        <f>SUM(G17:J17)</f>
        <v>27497</v>
      </c>
      <c r="G17" s="12">
        <f>15830000/1000</f>
        <v>15830</v>
      </c>
      <c r="H17" s="16">
        <f>665000/1000</f>
        <v>665</v>
      </c>
      <c r="I17" s="12">
        <f>11002000/1000</f>
        <v>11002</v>
      </c>
      <c r="J17" s="22">
        <v>0</v>
      </c>
      <c r="K17" s="12">
        <f>SUM(L17:P17)</f>
        <v>18004</v>
      </c>
      <c r="L17" s="21">
        <f>3887000/1000</f>
        <v>3887</v>
      </c>
      <c r="M17" s="20"/>
      <c r="N17" s="12">
        <f>10222000/1000</f>
        <v>10222</v>
      </c>
      <c r="O17" s="12">
        <f>3893000/1000</f>
        <v>3893</v>
      </c>
      <c r="P17" s="19">
        <v>2</v>
      </c>
    </row>
    <row r="18" spans="1:16" ht="19.5" customHeight="1" x14ac:dyDescent="0.3">
      <c r="C18" s="18" t="s">
        <v>8</v>
      </c>
      <c r="E18" s="17">
        <v>50</v>
      </c>
      <c r="F18" s="12">
        <f>SUM(G18:J18)</f>
        <v>28985</v>
      </c>
      <c r="G18" s="12">
        <f>13913000/1000</f>
        <v>13913</v>
      </c>
      <c r="H18" s="16">
        <f>810000/1000</f>
        <v>810</v>
      </c>
      <c r="I18" s="12">
        <f>14262000/1000</f>
        <v>14262</v>
      </c>
      <c r="J18" s="22">
        <v>0</v>
      </c>
      <c r="K18" s="12">
        <f>SUM(L18:P18)</f>
        <v>19797</v>
      </c>
      <c r="L18" s="21">
        <f>3960000/1000</f>
        <v>3960</v>
      </c>
      <c r="M18" s="20"/>
      <c r="N18" s="12">
        <f>11232000/1000</f>
        <v>11232</v>
      </c>
      <c r="O18" s="12">
        <f>4602000/1000</f>
        <v>4602</v>
      </c>
      <c r="P18" s="19">
        <v>3</v>
      </c>
    </row>
    <row r="19" spans="1:16" ht="19.5" customHeight="1" x14ac:dyDescent="0.3">
      <c r="C19" s="18" t="s">
        <v>7</v>
      </c>
      <c r="E19" s="17">
        <v>52</v>
      </c>
      <c r="F19" s="12">
        <f>SUM(G19:J19)</f>
        <v>30153</v>
      </c>
      <c r="G19" s="12">
        <f>14426000/1000</f>
        <v>14426</v>
      </c>
      <c r="H19" s="16">
        <f>656000/1000</f>
        <v>656</v>
      </c>
      <c r="I19" s="12">
        <f>15071000/1000</f>
        <v>15071</v>
      </c>
      <c r="J19" s="22">
        <v>0</v>
      </c>
      <c r="K19" s="12">
        <f>SUM(L19:P19)</f>
        <v>23581</v>
      </c>
      <c r="L19" s="21">
        <f>4127000/1000</f>
        <v>4127</v>
      </c>
      <c r="M19" s="20"/>
      <c r="N19" s="12">
        <f>14028000/1000</f>
        <v>14028</v>
      </c>
      <c r="O19" s="12">
        <f>5425000/1000</f>
        <v>5425</v>
      </c>
      <c r="P19" s="19">
        <v>1</v>
      </c>
    </row>
    <row r="20" spans="1:16" ht="19.5" customHeight="1" x14ac:dyDescent="0.3">
      <c r="C20" s="18" t="s">
        <v>6</v>
      </c>
      <c r="E20" s="17">
        <v>52</v>
      </c>
      <c r="F20" s="12">
        <f>SUM(G20:J20)</f>
        <v>33136</v>
      </c>
      <c r="G20" s="12">
        <f>14978000/1000</f>
        <v>14978</v>
      </c>
      <c r="H20" s="16">
        <f>679000/1000</f>
        <v>679</v>
      </c>
      <c r="I20" s="12">
        <f>17479000/1000</f>
        <v>17479</v>
      </c>
      <c r="J20" s="22">
        <v>0</v>
      </c>
      <c r="K20" s="12">
        <f>SUM(L20:P20)</f>
        <v>28080</v>
      </c>
      <c r="L20" s="21">
        <f>4543000/1000</f>
        <v>4543</v>
      </c>
      <c r="M20" s="20"/>
      <c r="N20" s="12">
        <f>17456000/1000</f>
        <v>17456</v>
      </c>
      <c r="O20" s="12">
        <f>6066000/1000</f>
        <v>6066</v>
      </c>
      <c r="P20" s="19">
        <v>15</v>
      </c>
    </row>
    <row r="21" spans="1:16" ht="19.5" customHeight="1" x14ac:dyDescent="0.3">
      <c r="C21" s="18" t="s">
        <v>5</v>
      </c>
      <c r="E21" s="17">
        <v>52</v>
      </c>
      <c r="F21" s="12">
        <f>SUM(G21:J21)</f>
        <v>38481</v>
      </c>
      <c r="G21" s="12">
        <f>17128000/1000</f>
        <v>17128</v>
      </c>
      <c r="H21" s="16">
        <f>842000/1000</f>
        <v>842</v>
      </c>
      <c r="I21" s="12">
        <f>20511000/1000</f>
        <v>20511</v>
      </c>
      <c r="J21" s="22">
        <v>0</v>
      </c>
      <c r="K21" s="12">
        <f>SUM(L21:P21)</f>
        <v>33646</v>
      </c>
      <c r="L21" s="21">
        <f>5176000/1000</f>
        <v>5176</v>
      </c>
      <c r="M21" s="20"/>
      <c r="N21" s="12">
        <f>21944000/1000</f>
        <v>21944</v>
      </c>
      <c r="O21" s="12">
        <f>6512000/1000</f>
        <v>6512</v>
      </c>
      <c r="P21" s="19">
        <v>14</v>
      </c>
    </row>
    <row r="22" spans="1:16" ht="19.5" customHeight="1" x14ac:dyDescent="0.3">
      <c r="C22" s="18" t="s">
        <v>4</v>
      </c>
      <c r="E22" s="17">
        <v>54</v>
      </c>
      <c r="F22" s="12">
        <f>SUM(G22:J22)</f>
        <v>41125</v>
      </c>
      <c r="G22" s="12">
        <f>19281000/1000</f>
        <v>19281</v>
      </c>
      <c r="H22" s="16">
        <f>826000/1000</f>
        <v>826</v>
      </c>
      <c r="I22" s="12">
        <f>21012000/1000</f>
        <v>21012</v>
      </c>
      <c r="J22" s="15">
        <f>6000/1000</f>
        <v>6</v>
      </c>
      <c r="K22" s="12">
        <f>SUM(L22:P22)</f>
        <v>38966</v>
      </c>
      <c r="L22" s="14">
        <f>6067000/1000</f>
        <v>6067</v>
      </c>
      <c r="M22" s="13"/>
      <c r="N22" s="12">
        <f>25070000/1000</f>
        <v>25070</v>
      </c>
      <c r="O22" s="12">
        <f>7815000/1000</f>
        <v>7815</v>
      </c>
      <c r="P22" s="19">
        <v>14</v>
      </c>
    </row>
    <row r="23" spans="1:16" ht="20.25" customHeight="1" x14ac:dyDescent="0.3">
      <c r="C23" s="18" t="s">
        <v>3</v>
      </c>
      <c r="E23" s="17">
        <v>55</v>
      </c>
      <c r="F23" s="12">
        <f>SUM(G23:J23)</f>
        <v>42147</v>
      </c>
      <c r="G23" s="12">
        <f>19141000/1000</f>
        <v>19141</v>
      </c>
      <c r="H23" s="16">
        <f>821000/1000</f>
        <v>821</v>
      </c>
      <c r="I23" s="12">
        <f>21807000/1000</f>
        <v>21807</v>
      </c>
      <c r="J23" s="15">
        <f>378000/1000</f>
        <v>378</v>
      </c>
      <c r="K23" s="12">
        <f>SUM(L23:P23)</f>
        <v>40071</v>
      </c>
      <c r="L23" s="14">
        <f>6656000/1000</f>
        <v>6656</v>
      </c>
      <c r="M23" s="13"/>
      <c r="N23" s="12">
        <f>24630000/1000</f>
        <v>24630</v>
      </c>
      <c r="O23" s="12">
        <f>8785000/1000</f>
        <v>8785</v>
      </c>
      <c r="P23" s="11" t="s">
        <v>2</v>
      </c>
    </row>
    <row r="24" spans="1:16" ht="10.5" customHeight="1" x14ac:dyDescent="0.3">
      <c r="E24" s="8"/>
      <c r="F24" s="10"/>
      <c r="G24" s="8"/>
      <c r="H24" s="8"/>
      <c r="I24" s="8"/>
      <c r="J24" s="8"/>
      <c r="L24" s="9"/>
      <c r="M24" s="10"/>
      <c r="N24" s="9"/>
      <c r="O24" s="8"/>
      <c r="P24" s="7"/>
    </row>
    <row r="25" spans="1:16" ht="3" customHeight="1" x14ac:dyDescent="0.3">
      <c r="A25" s="3"/>
      <c r="B25" s="3"/>
      <c r="C25" s="3"/>
      <c r="D25" s="3"/>
      <c r="E25" s="4"/>
      <c r="F25" s="4"/>
      <c r="G25" s="4"/>
      <c r="H25" s="4"/>
      <c r="I25" s="4"/>
      <c r="J25" s="4"/>
      <c r="K25" s="3"/>
      <c r="L25" s="5"/>
      <c r="M25" s="6"/>
      <c r="N25" s="5"/>
      <c r="O25" s="4"/>
      <c r="P25" s="3"/>
    </row>
    <row r="26" spans="1:16" ht="3" customHeight="1" x14ac:dyDescent="0.3"/>
    <row r="27" spans="1:16" x14ac:dyDescent="0.3">
      <c r="B27" s="1" t="s">
        <v>1</v>
      </c>
    </row>
    <row r="28" spans="1:16" x14ac:dyDescent="0.3">
      <c r="B28" s="1" t="s">
        <v>0</v>
      </c>
      <c r="F28" s="2"/>
    </row>
    <row r="30" spans="1:16" ht="24" customHeight="1" x14ac:dyDescent="0.3"/>
    <row r="31" spans="1:16" ht="15" customHeight="1" x14ac:dyDescent="0.3"/>
  </sheetData>
  <mergeCells count="8">
    <mergeCell ref="A6:D6"/>
    <mergeCell ref="A7:D7"/>
    <mergeCell ref="L8:M8"/>
    <mergeCell ref="L7:M7"/>
    <mergeCell ref="K2:O2"/>
    <mergeCell ref="F5:J5"/>
    <mergeCell ref="L6:M6"/>
    <mergeCell ref="K5:P5"/>
  </mergeCells>
  <pageMargins left="0.51181102362204722" right="0.31496062992125984" top="0.74803149606299213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2015-10-30T06:52:43Z</dcterms:created>
  <dcterms:modified xsi:type="dcterms:W3CDTF">2015-10-30T06:52:56Z</dcterms:modified>
</cp:coreProperties>
</file>