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1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6" r:id="rId6"/>
    <sheet name="T-14.7" sheetId="13" r:id="rId7"/>
    <sheet name="T-14.8" sheetId="12" r:id="rId8"/>
  </sheets>
  <definedNames>
    <definedName name="_xlnm.Print_Area" localSheetId="0">'T-14.1'!$A$1:$Q$35</definedName>
    <definedName name="_xlnm.Print_Area" localSheetId="1">'T-14.2'!$A$1:$R$62</definedName>
    <definedName name="_xlnm.Print_Area" localSheetId="2">'T-14.3'!$A$1:$N$52</definedName>
    <definedName name="_xlnm.Print_Area" localSheetId="3">'T-14.4'!$A$1:$R$58</definedName>
    <definedName name="_xlnm.Print_Area" localSheetId="4">'T-14.5'!$A$1:$N$62</definedName>
    <definedName name="_xlnm.Print_Area" localSheetId="5">'T-14.6'!$A$1:$W$31</definedName>
    <definedName name="_xlnm.Print_Area" localSheetId="6">'T-14.7'!$A$1:$Z$38</definedName>
    <definedName name="_xlnm.Print_Area" localSheetId="7">'T-14.8'!$A$1:$Y$36</definedName>
  </definedNames>
  <calcPr calcId="144525"/>
</workbook>
</file>

<file path=xl/calcChain.xml><?xml version="1.0" encoding="utf-8"?>
<calcChain xmlns="http://schemas.openxmlformats.org/spreadsheetml/2006/main">
  <c r="H10" i="11" l="1"/>
  <c r="F19" i="10"/>
  <c r="F10" i="11"/>
  <c r="G10" i="9"/>
  <c r="F10" i="9"/>
  <c r="E10" i="9"/>
  <c r="H40" i="7" l="1"/>
  <c r="H11" i="7"/>
  <c r="G10" i="7"/>
  <c r="H42" i="7"/>
  <c r="F18" i="10"/>
  <c r="F16" i="10"/>
  <c r="F14" i="10"/>
  <c r="E11" i="8" l="1"/>
  <c r="E12" i="8"/>
  <c r="E13" i="8"/>
  <c r="E14" i="8"/>
  <c r="E15" i="8"/>
  <c r="E17" i="8"/>
  <c r="E18" i="8"/>
  <c r="E20" i="8"/>
  <c r="E21" i="8"/>
  <c r="E22" i="8"/>
  <c r="E23" i="8"/>
  <c r="E24" i="8"/>
  <c r="E25" i="8"/>
  <c r="E26" i="8"/>
  <c r="E27" i="8"/>
  <c r="E29" i="8"/>
  <c r="E30" i="8"/>
  <c r="E31" i="8"/>
  <c r="E32" i="8"/>
  <c r="E34" i="8"/>
  <c r="E36" i="8"/>
  <c r="E10" i="7" l="1"/>
  <c r="E10" i="11"/>
  <c r="O37" i="9"/>
  <c r="F10" i="8"/>
  <c r="G10" i="8"/>
  <c r="H10" i="8"/>
  <c r="I10" i="8"/>
  <c r="K10" i="11"/>
  <c r="G10" i="11"/>
  <c r="I10" i="11"/>
  <c r="M10" i="11"/>
  <c r="N10" i="11"/>
  <c r="H10" i="9"/>
  <c r="I10" i="9"/>
  <c r="K10" i="7"/>
  <c r="L10" i="7"/>
  <c r="M10" i="7"/>
  <c r="N10" i="7"/>
  <c r="I10" i="7"/>
  <c r="E10" i="8" l="1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H28" i="7"/>
  <c r="H27" i="7"/>
  <c r="H24" i="7"/>
  <c r="H23" i="7"/>
  <c r="H22" i="7"/>
  <c r="H20" i="7"/>
  <c r="H19" i="7"/>
  <c r="H18" i="7"/>
  <c r="H17" i="7"/>
  <c r="H16" i="7"/>
  <c r="H15" i="7"/>
  <c r="H14" i="7"/>
  <c r="H13" i="7"/>
  <c r="H12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J45" i="7"/>
  <c r="J44" i="7"/>
  <c r="J43" i="7"/>
  <c r="J42" i="7"/>
  <c r="J41" i="7"/>
  <c r="J40" i="7"/>
  <c r="J39" i="7"/>
  <c r="H45" i="7"/>
  <c r="H44" i="7"/>
  <c r="H39" i="7"/>
  <c r="F45" i="7"/>
  <c r="F44" i="7"/>
  <c r="F43" i="7"/>
  <c r="F42" i="7"/>
  <c r="F41" i="7"/>
  <c r="F40" i="7"/>
  <c r="F39" i="7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H28" i="11"/>
  <c r="H27" i="11"/>
  <c r="H26" i="11"/>
  <c r="H25" i="11"/>
  <c r="H24" i="11"/>
  <c r="H22" i="11"/>
  <c r="H21" i="11"/>
  <c r="H20" i="11"/>
  <c r="H18" i="11"/>
  <c r="H17" i="11"/>
  <c r="H14" i="11"/>
  <c r="H13" i="11"/>
  <c r="H12" i="11"/>
  <c r="J45" i="11"/>
  <c r="J44" i="11"/>
  <c r="J43" i="11"/>
  <c r="J42" i="11"/>
  <c r="J41" i="11"/>
  <c r="J40" i="11"/>
  <c r="J39" i="11"/>
  <c r="H45" i="11"/>
  <c r="H44" i="11"/>
  <c r="H43" i="11"/>
  <c r="H42" i="11"/>
  <c r="H41" i="11"/>
  <c r="H40" i="11"/>
  <c r="H39" i="11"/>
  <c r="F45" i="11"/>
  <c r="F44" i="11"/>
  <c r="F43" i="11"/>
  <c r="F42" i="11"/>
  <c r="F41" i="11"/>
  <c r="F40" i="11"/>
  <c r="F3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L23" i="11"/>
  <c r="L11" i="11"/>
  <c r="L19" i="10"/>
  <c r="J19" i="10"/>
  <c r="H19" i="10"/>
  <c r="F17" i="10"/>
  <c r="E17" i="10"/>
  <c r="E16" i="10"/>
  <c r="F15" i="10"/>
  <c r="E15" i="10"/>
  <c r="E14" i="10"/>
  <c r="H10" i="7" l="1"/>
  <c r="J10" i="11"/>
  <c r="L10" i="11"/>
  <c r="F10" i="7"/>
  <c r="J10" i="7"/>
</calcChain>
</file>

<file path=xl/sharedStrings.xml><?xml version="1.0" encoding="utf-8"?>
<sst xmlns="http://schemas.openxmlformats.org/spreadsheetml/2006/main" count="718" uniqueCount="334">
  <si>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</si>
  <si>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</si>
  <si>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</si>
  <si>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</si>
  <si>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</si>
  <si>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</si>
  <si>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</si>
  <si>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</si>
  <si>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</si>
  <si>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</si>
  <si>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</si>
  <si>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</si>
  <si>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</si>
  <si>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</si>
  <si>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</si>
  <si>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</si>
  <si>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</si>
  <si>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</si>
  <si>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</si>
  <si>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</si>
  <si>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</si>
  <si>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</si>
  <si>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</si>
  <si>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</si>
  <si>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</si>
  <si>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</si>
  <si>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</si>
  <si>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</si>
  <si>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</si>
  <si>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</si>
  <si>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</si>
  <si>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</si>
  <si>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</si>
  <si>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</si>
  <si>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</si>
  <si>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</si>
  <si>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</si>
  <si>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</si>
  <si>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</si>
  <si>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</si>
  <si>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</si>
  <si>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</si>
  <si>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</si>
  <si>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</si>
  <si>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</si>
  <si>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</si>
  <si>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</si>
  <si>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</si>
  <si>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</si>
  <si>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</si>
  <si>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</si>
  <si>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</si>
  <si>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</si>
  <si>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</si>
  <si>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</si>
  <si>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</si>
  <si>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</si>
  <si>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</si>
  <si>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</si>
  <si>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</si>
  <si>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</si>
  <si>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</si>
  <si>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</si>
  <si>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</si>
  <si>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</si>
  <si>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</si>
  <si>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</si>
  <si>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</si>
  <si>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</si>
  <si>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</si>
  <si>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</si>
  <si>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</si>
  <si>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</si>
  <si>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</si>
  <si>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</si>
  <si>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</si>
  <si>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</si>
  <si>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</si>
  <si>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</si>
  <si>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</si>
  <si>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</si>
  <si>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</si>
  <si>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</si>
  <si>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</si>
  <si>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</si>
  <si>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</si>
  <si>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</si>
  <si>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</si>
  <si>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</si>
  <si>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</si>
  <si>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</si>
  <si>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</si>
  <si>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</si>
  <si>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</si>
  <si>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</si>
  <si>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</si>
  <si>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</si>
  <si>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</si>
  <si>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</si>
  <si>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</si>
  <si>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</si>
  <si>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</si>
  <si>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</si>
  <si>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</si>
  <si>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</si>
  <si>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</si>
  <si>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</si>
  <si>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</si>
  <si>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</si>
  <si>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</si>
  <si>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</si>
  <si>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</si>
  <si>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</si>
  <si>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</si>
  <si>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</si>
  <si>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</si>
  <si>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</si>
  <si>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</si>
  <si>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</si>
  <si>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</si>
  <si>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</si>
  <si>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</si>
  <si>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</si>
  <si>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</si>
  <si>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</si>
  <si>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</si>
  <si>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</si>
  <si>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</si>
  <si>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</si>
  <si>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</si>
  <si>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</si>
  <si>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</si>
  <si>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</si>
  <si>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</si>
  <si>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</si>
  <si>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</si>
  <si>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</si>
  <si>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</si>
  <si>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</si>
  <si>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</si>
  <si>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</si>
  <si>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</si>
  <si>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</si>
  <si>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</si>
  <si>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</si>
  <si>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</si>
  <si>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</si>
  <si>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</si>
  <si>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</si>
  <si>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</si>
  <si>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</si>
  <si>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</si>
  <si>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</si>
  <si>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</si>
  <si>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</si>
  <si>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</si>
  <si>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</si>
  <si>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</si>
  <si>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</si>
  <si>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</si>
  <si>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</si>
  <si>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</si>
  <si>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</si>
  <si>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</si>
  <si>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</si>
  <si>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</si>
  <si>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</si>
  <si>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</si>
  <si>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</si>
  <si>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</si>
  <si>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</si>
  <si>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</si>
  <si>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</si>
  <si>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</si>
  <si>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</si>
  <si>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</si>
  <si>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</si>
  <si>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</si>
  <si>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</si>
  <si>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</si>
  <si>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</si>
  <si>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</si>
  <si>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</si>
  <si>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</si>
  <si>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</si>
  <si>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</si>
  <si>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</si>
  <si>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</si>
  <si>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</si>
  <si>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</si>
  <si>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</si>
  <si>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</si>
  <si>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</si>
  <si>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</si>
  <si>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</si>
  <si>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จังหวัด</t>
  </si>
  <si>
    <t>Province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</si>
  <si>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</si>
  <si>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</si>
  <si>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</si>
  <si>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</si>
  <si>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</si>
  <si>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</si>
  <si>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</si>
  <si>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</si>
  <si>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</si>
  <si>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</si>
  <si>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</si>
  <si>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</si>
  <si>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</si>
  <si>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 xml:space="preserve">      1/    หน่วยเป็นล้านบาท   Unit of million baht</t>
  </si>
  <si>
    <t xml:space="preserve">    ที่มา:   สำนักงานพาณิชย์จังหวัดอุบลราชธานี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</si>
  <si>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</si>
  <si>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</si>
  <si>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ทะเบียนนิติบุคคลที่คงอยู่ และทุนจดทะเบียน จำแนกตามประเภทการจดทะเบียน เป็นรายอำเภอ พ.ศ. 2560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</si>
  <si>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</si>
  <si>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</si>
  <si>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</si>
  <si>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</si>
  <si>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</si>
  <si>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</si>
  <si>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</si>
  <si>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</si>
  <si>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</si>
  <si>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</si>
  <si>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</si>
  <si>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</si>
  <si>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</si>
  <si>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</si>
  <si>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</si>
  <si>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</si>
  <si>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</si>
  <si>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</si>
  <si>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</si>
  <si>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</si>
  <si>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</si>
  <si>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</si>
  <si>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</si>
  <si>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</si>
  <si>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</si>
  <si>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</si>
  <si>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</si>
  <si>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</si>
  <si>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New Registered of Juristic Person and Authorized Capital by Type of Registration and District: 2017</t>
  </si>
  <si>
    <t>ทะเบียนนิติบุคคลใหม่ และทุนจดทะเบียน จำแนกตามประเภทการจดทะเบียน เป็นรายอำเภอ พ.ศ. 2560 (ต่อ)</t>
  </si>
  <si>
    <t>ทะเบียนนิติบุคคลใหม่ จำแนกตามประเภทการจดทะเบียน และหมวดธุรกิจ พ.ศ. 2560</t>
  </si>
  <si>
    <t>New Registered of Juristic Person by Type of Registration and Category: 2017</t>
  </si>
  <si>
    <t>ใบอนุญาตประกอบธุรกิจเกี่ยวกับยา พ.ศ. 2553 - 2560</t>
  </si>
  <si>
    <t>Licence Concerning Drug: 2010 - 2017</t>
  </si>
  <si>
    <t xml:space="preserve">ข้อมูล ณ วันที่ 17 พฤษฎาคม 2561 </t>
  </si>
  <si>
    <t>Data as of 17 May 2018</t>
  </si>
  <si>
    <t>ดัชนีราคาผู้บริโภคทั่วไป จำแนกตามหมวดสินค้า พ.ศ. 2557 - 2560</t>
  </si>
  <si>
    <t>General Consumer Price Index by Commodity Group: 2014 - 2017</t>
  </si>
  <si>
    <t>2557</t>
  </si>
  <si>
    <t>2558</t>
  </si>
  <si>
    <t>2559</t>
  </si>
  <si>
    <t>2560</t>
  </si>
  <si>
    <t>(2017)</t>
  </si>
  <si>
    <t>(2016)</t>
  </si>
  <si>
    <t>(2015)</t>
  </si>
  <si>
    <t>(2014)</t>
  </si>
  <si>
    <t>ดัชนีราคาผู้บริโภคทั่วไป เป็นรายจังหวัด ภาคตะวันออกเฉียงเหนือ พ.ศ. 2557 - 2560</t>
  </si>
  <si>
    <t>General Consumer Price Index by Province of North Region: 2014 - 2017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</si>
  <si>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</si>
  <si>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</si>
  <si>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</si>
  <si>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</si>
  <si>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</si>
  <si>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</si>
  <si>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</si>
  <si>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</si>
  <si>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</si>
  <si>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</si>
  <si>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</si>
  <si>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</si>
  <si>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</si>
  <si>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</si>
  <si>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</si>
  <si>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</si>
  <si>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</si>
  <si>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</si>
  <si>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</si>
  <si>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</si>
  <si>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</si>
  <si>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Northeastern Region</t>
  </si>
  <si>
    <t xml:space="preserve"> Nakhon Ratchasima </t>
  </si>
  <si>
    <t xml:space="preserve"> Buri Ram </t>
  </si>
  <si>
    <t xml:space="preserve"> Surin </t>
  </si>
  <si>
    <t xml:space="preserve"> Si Sa Ket </t>
  </si>
  <si>
    <t xml:space="preserve"> Ubon Ratchathani </t>
  </si>
  <si>
    <t xml:space="preserve"> Yasothon </t>
  </si>
  <si>
    <t xml:space="preserve"> Chaiyaphum </t>
  </si>
  <si>
    <t xml:space="preserve"> Amnat Charoen </t>
  </si>
  <si>
    <t>Buengkhan</t>
  </si>
  <si>
    <t xml:space="preserve"> Nong Bua Lam Phu </t>
  </si>
  <si>
    <t xml:space="preserve"> Khon Kaen </t>
  </si>
  <si>
    <t xml:space="preserve"> Udon Thani </t>
  </si>
  <si>
    <t xml:space="preserve"> Loei </t>
  </si>
  <si>
    <t xml:space="preserve"> Nong Khai </t>
  </si>
  <si>
    <t xml:space="preserve"> Maha Sarakham </t>
  </si>
  <si>
    <t xml:space="preserve"> Roi Et </t>
  </si>
  <si>
    <t xml:space="preserve"> Kalasin </t>
  </si>
  <si>
    <t xml:space="preserve"> Sakon Nakhon </t>
  </si>
  <si>
    <t xml:space="preserve"> Nakhon Phanom </t>
  </si>
  <si>
    <t xml:space="preserve"> Mukdahan </t>
  </si>
  <si>
    <t>-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</si>
  <si>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</si>
  <si>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</si>
  <si>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</si>
  <si>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</si>
  <si>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</si>
  <si>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</si>
  <si>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</si>
  <si>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</si>
  <si>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</si>
  <si>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</si>
  <si>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</si>
  <si>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</si>
  <si>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</si>
  <si>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</si>
  <si>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</si>
  <si>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</si>
  <si>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</si>
  <si>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</si>
  <si>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</si>
  <si>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</si>
  <si>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</si>
  <si>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</si>
  <si>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</si>
  <si>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</si>
  <si>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</si>
  <si>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ทะเบียนนิติบุคคลที่คงอยู่ และทุนจดทะเบียน จำแนกตามประเภทการจดทะเบียน พ.ศ.  2551 - 2560</t>
  </si>
  <si>
    <t>Registered of Juristic Person and Authorized Capital by Type of Registration:  2008 -  2017</t>
  </si>
  <si>
    <t>Source:    Office of Commercial Affairs Ubonratchathani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</si>
</sst>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.0_-;\-* #,##0.0_-;_-* &quot;-&quot;_-;_-@_-"/>
  </numFmts>
  <fonts count="3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sz val="10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21" fillId="0" borderId="0"/>
    <xf numFmtId="187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41" fontId="8" fillId="0" borderId="9" xfId="2" applyNumberFormat="1" applyFont="1" applyBorder="1" applyAlignment="1" applyProtection="1">
      <alignment vertical="center"/>
    </xf>
    <xf numFmtId="41" fontId="8" fillId="0" borderId="0" xfId="2" applyNumberFormat="1" applyFont="1" applyBorder="1" applyAlignment="1" applyProtection="1">
      <alignment vertical="center"/>
    </xf>
    <xf numFmtId="41" fontId="8" fillId="0" borderId="4" xfId="2" applyNumberFormat="1" applyFont="1" applyBorder="1" applyAlignment="1" applyProtection="1">
      <alignment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188" fontId="13" fillId="0" borderId="4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6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8" fontId="19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88" fontId="18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88" fontId="18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8" fillId="0" borderId="0" xfId="1" applyFont="1" applyBorder="1"/>
    <xf numFmtId="0" fontId="8" fillId="0" borderId="0" xfId="5" applyFont="1" applyBorder="1" applyProtection="1">
      <protection locked="0"/>
    </xf>
    <xf numFmtId="0" fontId="8" fillId="0" borderId="9" xfId="0" applyFont="1" applyBorder="1"/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0" fontId="8" fillId="0" borderId="11" xfId="0" applyFont="1" applyBorder="1"/>
    <xf numFmtId="0" fontId="8" fillId="0" borderId="1" xfId="0" applyFont="1" applyBorder="1"/>
    <xf numFmtId="0" fontId="8" fillId="0" borderId="10" xfId="0" applyFont="1" applyBorder="1"/>
    <xf numFmtId="0" fontId="13" fillId="0" borderId="0" xfId="5" applyFont="1" applyBorder="1" applyAlignment="1">
      <alignment vertical="center"/>
    </xf>
    <xf numFmtId="0" fontId="13" fillId="0" borderId="9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3" fillId="0" borderId="0" xfId="5" applyFont="1" applyBorder="1" applyAlignment="1"/>
    <xf numFmtId="0" fontId="10" fillId="0" borderId="0" xfId="5" applyFont="1" applyBorder="1" applyAlignment="1"/>
    <xf numFmtId="0" fontId="10" fillId="0" borderId="9" xfId="5" applyFont="1" applyBorder="1" applyAlignment="1"/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88" fontId="13" fillId="0" borderId="0" xfId="6" applyNumberFormat="1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188" fontId="10" fillId="0" borderId="0" xfId="6" applyNumberFormat="1" applyFont="1" applyBorder="1" applyAlignment="1"/>
    <xf numFmtId="0" fontId="10" fillId="0" borderId="0" xfId="5" quotePrefix="1" applyFont="1" applyBorder="1" applyAlignment="1" applyProtection="1">
      <alignment horizontal="left"/>
      <protection locked="0"/>
    </xf>
    <xf numFmtId="0" fontId="22" fillId="0" borderId="0" xfId="7" applyFont="1" applyBorder="1" applyAlignment="1">
      <alignment wrapText="1"/>
    </xf>
    <xf numFmtId="0" fontId="10" fillId="0" borderId="0" xfId="5" applyFont="1" applyBorder="1" applyAlignment="1" applyProtection="1">
      <protection locked="0"/>
    </xf>
    <xf numFmtId="0" fontId="23" fillId="0" borderId="0" xfId="7" applyFont="1" applyBorder="1" applyAlignment="1">
      <alignment wrapText="1"/>
    </xf>
    <xf numFmtId="0" fontId="10" fillId="0" borderId="0" xfId="5" quotePrefix="1" applyFont="1" applyBorder="1" applyAlignment="1">
      <alignment horizontal="left"/>
    </xf>
    <xf numFmtId="0" fontId="22" fillId="0" borderId="0" xfId="7" applyFont="1" applyBorder="1" applyAlignment="1">
      <alignment horizontal="left" wrapText="1"/>
    </xf>
    <xf numFmtId="41" fontId="8" fillId="0" borderId="0" xfId="2" applyNumberFormat="1" applyFont="1" applyBorder="1" applyAlignment="1" applyProtection="1">
      <alignment horizontal="right" vertical="center"/>
    </xf>
    <xf numFmtId="41" fontId="8" fillId="0" borderId="4" xfId="2" applyNumberFormat="1" applyFont="1" applyBorder="1" applyAlignment="1" applyProtection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5" quotePrefix="1" applyFont="1" applyBorder="1" applyAlignment="1" applyProtection="1">
      <alignment horizontal="left" indent="1"/>
      <protection locked="0"/>
    </xf>
    <xf numFmtId="0" fontId="8" fillId="0" borderId="4" xfId="5" applyFont="1" applyBorder="1" applyAlignment="1" applyProtection="1">
      <alignment horizontal="left" indent="1"/>
      <protection locked="0"/>
    </xf>
    <xf numFmtId="0" fontId="8" fillId="0" borderId="4" xfId="5" quotePrefix="1" applyFont="1" applyBorder="1" applyAlignment="1">
      <alignment horizontal="left" indent="1"/>
    </xf>
    <xf numFmtId="0" fontId="8" fillId="0" borderId="4" xfId="5" applyFont="1" applyBorder="1" applyAlignment="1">
      <alignment horizontal="left" indent="1"/>
    </xf>
    <xf numFmtId="0" fontId="8" fillId="0" borderId="4" xfId="0" applyFont="1" applyBorder="1" applyAlignment="1">
      <alignment horizontal="right"/>
    </xf>
    <xf numFmtId="0" fontId="8" fillId="0" borderId="6" xfId="0" applyFont="1" applyBorder="1"/>
    <xf numFmtId="43" fontId="8" fillId="0" borderId="6" xfId="1" applyFont="1" applyBorder="1"/>
    <xf numFmtId="0" fontId="8" fillId="0" borderId="4" xfId="5" quotePrefix="1" applyFont="1" applyBorder="1" applyAlignment="1" applyProtection="1">
      <alignment horizontal="left"/>
      <protection locked="0"/>
    </xf>
    <xf numFmtId="0" fontId="8" fillId="0" borderId="4" xfId="5" quotePrefix="1" applyFont="1" applyBorder="1" applyAlignment="1">
      <alignment horizontal="left"/>
    </xf>
    <xf numFmtId="0" fontId="8" fillId="0" borderId="4" xfId="5" applyFont="1" applyBorder="1"/>
    <xf numFmtId="0" fontId="8" fillId="0" borderId="4" xfId="5" applyFont="1" applyBorder="1" applyAlignment="1" applyProtection="1">
      <alignment horizontal="left"/>
      <protection locked="0"/>
    </xf>
    <xf numFmtId="0" fontId="8" fillId="0" borderId="4" xfId="5" applyFont="1" applyBorder="1" applyProtection="1">
      <protection locked="0"/>
    </xf>
    <xf numFmtId="0" fontId="6" fillId="0" borderId="4" xfId="0" applyFont="1" applyBorder="1"/>
    <xf numFmtId="0" fontId="6" fillId="0" borderId="7" xfId="0" applyFont="1" applyBorder="1"/>
    <xf numFmtId="3" fontId="8" fillId="0" borderId="0" xfId="0" applyNumberFormat="1" applyFont="1" applyBorder="1"/>
    <xf numFmtId="0" fontId="6" fillId="0" borderId="8" xfId="0" applyFont="1" applyBorder="1"/>
    <xf numFmtId="0" fontId="8" fillId="0" borderId="8" xfId="0" applyFont="1" applyBorder="1" applyAlignment="1">
      <alignment horizontal="right"/>
    </xf>
    <xf numFmtId="43" fontId="8" fillId="0" borderId="7" xfId="1" applyFont="1" applyBorder="1"/>
    <xf numFmtId="3" fontId="6" fillId="0" borderId="0" xfId="0" applyNumberFormat="1" applyFont="1" applyBorder="1"/>
    <xf numFmtId="0" fontId="5" fillId="0" borderId="4" xfId="0" applyFont="1" applyBorder="1" applyAlignment="1">
      <alignment horizontal="center"/>
    </xf>
    <xf numFmtId="2" fontId="13" fillId="0" borderId="4" xfId="0" applyNumberFormat="1" applyFont="1" applyBorder="1" applyAlignment="1">
      <alignment vertical="center"/>
    </xf>
    <xf numFmtId="2" fontId="13" fillId="0" borderId="9" xfId="0" applyNumberFormat="1" applyFont="1" applyBorder="1" applyAlignment="1">
      <alignment vertical="center"/>
    </xf>
    <xf numFmtId="2" fontId="13" fillId="0" borderId="0" xfId="1" applyNumberFormat="1" applyFont="1" applyBorder="1" applyAlignment="1">
      <alignment vertical="center"/>
    </xf>
    <xf numFmtId="2" fontId="13" fillId="0" borderId="9" xfId="1" applyNumberFormat="1" applyFont="1" applyBorder="1" applyAlignment="1">
      <alignment vertical="center"/>
    </xf>
    <xf numFmtId="2" fontId="13" fillId="0" borderId="4" xfId="1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2" fontId="10" fillId="0" borderId="9" xfId="1" applyNumberFormat="1" applyFont="1" applyBorder="1" applyAlignment="1">
      <alignment vertical="center"/>
    </xf>
    <xf numFmtId="2" fontId="10" fillId="0" borderId="4" xfId="1" applyNumberFormat="1" applyFont="1" applyBorder="1" applyAlignment="1">
      <alignment vertical="center"/>
    </xf>
    <xf numFmtId="187" fontId="13" fillId="0" borderId="0" xfId="1" applyNumberFormat="1" applyFont="1" applyBorder="1" applyAlignment="1">
      <alignment vertical="center"/>
    </xf>
    <xf numFmtId="187" fontId="13" fillId="0" borderId="4" xfId="1" applyNumberFormat="1" applyFont="1" applyBorder="1" applyAlignment="1">
      <alignment vertical="center"/>
    </xf>
    <xf numFmtId="187" fontId="13" fillId="0" borderId="9" xfId="1" applyNumberFormat="1" applyFont="1" applyBorder="1" applyAlignment="1">
      <alignment vertical="center"/>
    </xf>
    <xf numFmtId="187" fontId="24" fillId="0" borderId="4" xfId="0" applyNumberFormat="1" applyFont="1" applyBorder="1" applyAlignment="1">
      <alignment horizontal="right"/>
    </xf>
    <xf numFmtId="187" fontId="10" fillId="0" borderId="9" xfId="1" applyNumberFormat="1" applyFont="1" applyBorder="1" applyAlignment="1">
      <alignment vertical="center"/>
    </xf>
    <xf numFmtId="187" fontId="10" fillId="0" borderId="4" xfId="1" applyNumberFormat="1" applyFont="1" applyBorder="1" applyAlignment="1">
      <alignment vertical="center"/>
    </xf>
    <xf numFmtId="187" fontId="10" fillId="0" borderId="0" xfId="1" applyNumberFormat="1" applyFont="1" applyBorder="1" applyAlignment="1">
      <alignment vertical="center"/>
    </xf>
    <xf numFmtId="187" fontId="10" fillId="0" borderId="6" xfId="1" applyNumberFormat="1" applyFont="1" applyBorder="1" applyAlignment="1">
      <alignment vertical="center"/>
    </xf>
    <xf numFmtId="187" fontId="10" fillId="0" borderId="10" xfId="1" applyNumberFormat="1" applyFont="1" applyBorder="1" applyAlignment="1">
      <alignment vertical="center"/>
    </xf>
    <xf numFmtId="187" fontId="10" fillId="0" borderId="1" xfId="1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41" fontId="6" fillId="0" borderId="8" xfId="8" applyNumberFormat="1" applyFont="1" applyBorder="1" applyAlignment="1">
      <alignment horizontal="right" vertical="center"/>
    </xf>
    <xf numFmtId="41" fontId="6" fillId="0" borderId="4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 vertical="center"/>
    </xf>
    <xf numFmtId="41" fontId="6" fillId="0" borderId="9" xfId="9" applyNumberFormat="1" applyFont="1" applyBorder="1" applyAlignment="1">
      <alignment horizontal="right"/>
    </xf>
    <xf numFmtId="41" fontId="6" fillId="0" borderId="0" xfId="9" applyNumberFormat="1" applyFont="1" applyBorder="1" applyAlignment="1">
      <alignment horizontal="right"/>
    </xf>
    <xf numFmtId="41" fontId="6" fillId="0" borderId="8" xfId="0" applyNumberFormat="1" applyFont="1" applyBorder="1"/>
    <xf numFmtId="41" fontId="6" fillId="0" borderId="9" xfId="0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41" fontId="6" fillId="0" borderId="8" xfId="1" applyNumberFormat="1" applyFont="1" applyBorder="1" applyAlignment="1">
      <alignment horizontal="right"/>
    </xf>
    <xf numFmtId="41" fontId="6" fillId="0" borderId="4" xfId="1" applyNumberFormat="1" applyFont="1" applyBorder="1" applyAlignment="1">
      <alignment horizontal="right"/>
    </xf>
    <xf numFmtId="41" fontId="5" fillId="0" borderId="8" xfId="0" applyNumberFormat="1" applyFont="1" applyBorder="1"/>
    <xf numFmtId="41" fontId="6" fillId="0" borderId="9" xfId="0" applyNumberFormat="1" applyFont="1" applyBorder="1"/>
    <xf numFmtId="41" fontId="6" fillId="0" borderId="0" xfId="0" applyNumberFormat="1" applyFont="1" applyBorder="1"/>
    <xf numFmtId="41" fontId="6" fillId="0" borderId="4" xfId="0" applyNumberFormat="1" applyFont="1" applyBorder="1"/>
    <xf numFmtId="41" fontId="8" fillId="0" borderId="4" xfId="0" applyNumberFormat="1" applyFont="1" applyBorder="1" applyAlignment="1">
      <alignment horizontal="right"/>
    </xf>
    <xf numFmtId="41" fontId="8" fillId="0" borderId="5" xfId="0" applyNumberFormat="1" applyFont="1" applyBorder="1"/>
    <xf numFmtId="41" fontId="8" fillId="0" borderId="5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/>
    </xf>
    <xf numFmtId="41" fontId="8" fillId="0" borderId="8" xfId="0" applyNumberFormat="1" applyFont="1" applyBorder="1"/>
    <xf numFmtId="41" fontId="8" fillId="0" borderId="4" xfId="0" applyNumberFormat="1" applyFont="1" applyBorder="1"/>
    <xf numFmtId="0" fontId="7" fillId="0" borderId="4" xfId="0" applyFont="1" applyBorder="1"/>
    <xf numFmtId="41" fontId="26" fillId="0" borderId="8" xfId="0" applyNumberFormat="1" applyFont="1" applyBorder="1"/>
    <xf numFmtId="41" fontId="25" fillId="0" borderId="8" xfId="0" applyNumberFormat="1" applyFont="1" applyBorder="1"/>
    <xf numFmtId="41" fontId="27" fillId="0" borderId="8" xfId="0" applyNumberFormat="1" applyFont="1" applyBorder="1"/>
    <xf numFmtId="41" fontId="28" fillId="0" borderId="8" xfId="0" applyNumberFormat="1" applyFont="1" applyBorder="1"/>
    <xf numFmtId="41" fontId="28" fillId="0" borderId="9" xfId="0" applyNumberFormat="1" applyFont="1" applyBorder="1" applyAlignment="1">
      <alignment vertical="center"/>
    </xf>
    <xf numFmtId="41" fontId="28" fillId="0" borderId="0" xfId="0" applyNumberFormat="1" applyFont="1" applyBorder="1" applyAlignment="1">
      <alignment vertical="center"/>
    </xf>
    <xf numFmtId="41" fontId="28" fillId="0" borderId="4" xfId="0" applyNumberFormat="1" applyFont="1" applyBorder="1" applyAlignment="1">
      <alignment vertical="center"/>
    </xf>
    <xf numFmtId="41" fontId="28" fillId="0" borderId="8" xfId="0" applyNumberFormat="1" applyFont="1" applyBorder="1" applyAlignment="1">
      <alignment vertical="center"/>
    </xf>
    <xf numFmtId="41" fontId="25" fillId="0" borderId="9" xfId="1" applyNumberFormat="1" applyFont="1" applyBorder="1"/>
    <xf numFmtId="41" fontId="25" fillId="0" borderId="9" xfId="0" applyNumberFormat="1" applyFont="1" applyBorder="1"/>
    <xf numFmtId="41" fontId="25" fillId="0" borderId="0" xfId="1" applyNumberFormat="1" applyFont="1" applyBorder="1"/>
    <xf numFmtId="41" fontId="25" fillId="0" borderId="8" xfId="1" applyNumberFormat="1" applyFont="1" applyBorder="1"/>
    <xf numFmtId="41" fontId="25" fillId="0" borderId="8" xfId="0" applyNumberFormat="1" applyFont="1" applyBorder="1" applyAlignment="1">
      <alignment horizontal="right"/>
    </xf>
    <xf numFmtId="41" fontId="6" fillId="0" borderId="9" xfId="1" applyNumberFormat="1" applyFont="1" applyBorder="1"/>
    <xf numFmtId="41" fontId="6" fillId="0" borderId="0" xfId="1" applyNumberFormat="1" applyFont="1" applyBorder="1"/>
    <xf numFmtId="41" fontId="6" fillId="0" borderId="8" xfId="1" applyNumberFormat="1" applyFont="1" applyBorder="1"/>
    <xf numFmtId="41" fontId="29" fillId="0" borderId="8" xfId="0" applyNumberFormat="1" applyFont="1" applyBorder="1"/>
    <xf numFmtId="41" fontId="29" fillId="0" borderId="8" xfId="1" applyNumberFormat="1" applyFont="1" applyBorder="1"/>
    <xf numFmtId="41" fontId="6" fillId="0" borderId="5" xfId="0" applyNumberFormat="1" applyFont="1" applyBorder="1" applyAlignment="1">
      <alignment horizontal="right"/>
    </xf>
    <xf numFmtId="41" fontId="6" fillId="0" borderId="8" xfId="0" applyNumberFormat="1" applyFont="1" applyBorder="1" applyAlignment="1">
      <alignment horizontal="right"/>
    </xf>
    <xf numFmtId="191" fontId="8" fillId="0" borderId="4" xfId="0" applyNumberFormat="1" applyFont="1" applyBorder="1"/>
    <xf numFmtId="41" fontId="8" fillId="0" borderId="8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horizontal="right" vertical="center"/>
    </xf>
    <xf numFmtId="41" fontId="7" fillId="0" borderId="8" xfId="0" applyNumberFormat="1" applyFont="1" applyBorder="1"/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189" fontId="7" fillId="0" borderId="0" xfId="2" applyNumberFormat="1" applyFont="1" applyBorder="1" applyAlignment="1" applyProtection="1">
      <alignment horizontal="left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3" fillId="0" borderId="0" xfId="5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10">
    <cellStyle name="Comma" xfId="1" builtinId="3"/>
    <cellStyle name="Comma 2" xfId="9"/>
    <cellStyle name="Comma 4" xfId="6"/>
    <cellStyle name="Comma_Chapter13" xfId="2"/>
    <cellStyle name="Normal" xfId="0" builtinId="0"/>
    <cellStyle name="Normal 2 2" xfId="7"/>
    <cellStyle name="Normal 3" xfId="5"/>
    <cellStyle name="Normal_Chapter13" xfId="3"/>
    <cellStyle name="เครื่องหมายจุลภาค 2" xfId="8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16</xdr:row>
      <xdr:rowOff>161924</xdr:rowOff>
    </xdr:from>
    <xdr:to>
      <xdr:col>15</xdr:col>
      <xdr:colOff>323850</xdr:colOff>
      <xdr:row>28</xdr:row>
      <xdr:rowOff>238124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905249"/>
          <a:ext cx="457200" cy="2600325"/>
          <a:chOff x="9505950" y="3543300"/>
          <a:chExt cx="457200" cy="284884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9525</xdr:rowOff>
    </xdr:from>
    <xdr:to>
      <xdr:col>17</xdr:col>
      <xdr:colOff>3752</xdr:colOff>
      <xdr:row>9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9775" y="9525"/>
          <a:ext cx="375227" cy="2000250"/>
          <a:chOff x="9629775" y="85725"/>
          <a:chExt cx="375227" cy="210502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19050</xdr:colOff>
      <xdr:row>48</xdr:row>
      <xdr:rowOff>19050</xdr:rowOff>
    </xdr:from>
    <xdr:to>
      <xdr:col>16</xdr:col>
      <xdr:colOff>323850</xdr:colOff>
      <xdr:row>59</xdr:row>
      <xdr:rowOff>0</xdr:rowOff>
    </xdr:to>
    <xdr:grpSp>
      <xdr:nvGrpSpPr>
        <xdr:cNvPr id="24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496425" y="10544175"/>
          <a:ext cx="457200" cy="2600325"/>
          <a:chOff x="9505950" y="3543300"/>
          <a:chExt cx="457200" cy="2848844"/>
        </a:xfrm>
      </xdr:grpSpPr>
      <xdr:grpSp>
        <xdr:nvGrpSpPr>
          <xdr:cNvPr id="25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7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76200</xdr:rowOff>
    </xdr:from>
    <xdr:to>
      <xdr:col>12</xdr:col>
      <xdr:colOff>318077</xdr:colOff>
      <xdr:row>11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0250" y="76200"/>
          <a:ext cx="375227" cy="2000250"/>
          <a:chOff x="9629775" y="85725"/>
          <a:chExt cx="375227" cy="2105025"/>
        </a:xfrm>
      </xdr:grpSpPr>
      <xdr:grpSp>
        <xdr:nvGrpSpPr>
          <xdr:cNvPr id="14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6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30</xdr:row>
      <xdr:rowOff>9525</xdr:rowOff>
    </xdr:from>
    <xdr:to>
      <xdr:col>17</xdr:col>
      <xdr:colOff>13277</xdr:colOff>
      <xdr:row>38</xdr:row>
      <xdr:rowOff>95250</xdr:rowOff>
    </xdr:to>
    <xdr:grpSp>
      <xdr:nvGrpSpPr>
        <xdr:cNvPr id="17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39300" y="6486525"/>
          <a:ext cx="375227" cy="2000250"/>
          <a:chOff x="9629775" y="85725"/>
          <a:chExt cx="375227" cy="2105025"/>
        </a:xfrm>
      </xdr:grpSpPr>
      <xdr:grpSp>
        <xdr:nvGrpSpPr>
          <xdr:cNvPr id="18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28575</xdr:colOff>
      <xdr:row>17</xdr:row>
      <xdr:rowOff>104775</xdr:rowOff>
    </xdr:from>
    <xdr:to>
      <xdr:col>16</xdr:col>
      <xdr:colOff>333375</xdr:colOff>
      <xdr:row>30</xdr:row>
      <xdr:rowOff>9525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886200"/>
          <a:ext cx="457200" cy="2600325"/>
          <a:chOff x="9505950" y="3543300"/>
          <a:chExt cx="457200" cy="2848844"/>
        </a:xfrm>
      </xdr:grpSpPr>
      <xdr:grpSp>
        <xdr:nvGrpSpPr>
          <xdr:cNvPr id="23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xmlns="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2409825</xdr:colOff>
      <xdr:row>21</xdr:row>
      <xdr:rowOff>171450</xdr:rowOff>
    </xdr:from>
    <xdr:to>
      <xdr:col>12</xdr:col>
      <xdr:colOff>238125</xdr:colOff>
      <xdr:row>39</xdr:row>
      <xdr:rowOff>19919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pSpPr/>
      </xdr:nvGrpSpPr>
      <xdr:grpSpPr>
        <a:xfrm>
          <a:off x="9515475" y="3857625"/>
          <a:ext cx="457200" cy="2848844"/>
          <a:chOff x="9515475" y="3857625"/>
          <a:chExt cx="457200" cy="2848844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400-00000A000000}"/>
              </a:ext>
            </a:extLst>
          </xdr:cNvPr>
          <xdr:cNvGrpSpPr/>
        </xdr:nvGrpSpPr>
        <xdr:grpSpPr>
          <a:xfrm>
            <a:off x="9639300" y="6238875"/>
            <a:ext cx="333375" cy="467594"/>
            <a:chOff x="9591675" y="6219829"/>
            <a:chExt cx="333375" cy="467594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400-00000B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400-00000C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0</xdr:row>
      <xdr:rowOff>85725</xdr:rowOff>
    </xdr:from>
    <xdr:to>
      <xdr:col>22</xdr:col>
      <xdr:colOff>337127</xdr:colOff>
      <xdr:row>10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pSpPr/>
      </xdr:nvGrpSpPr>
      <xdr:grpSpPr>
        <a:xfrm>
          <a:off x="9637183" y="85725"/>
          <a:ext cx="351944" cy="2133600"/>
          <a:chOff x="9610725" y="85725"/>
          <a:chExt cx="356177" cy="209550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xmlns="" id="{00000000-0008-0000-0500-000006000000}"/>
              </a:ext>
            </a:extLst>
          </xdr:cNvPr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xmlns="" id="{00000000-0008-0000-05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00000000-0008-0000-05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xmlns="" id="{00000000-0008-0000-0600-000006040000}"/>
            </a:ext>
          </a:extLst>
        </xdr:cNvPr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2019300</xdr:colOff>
      <xdr:row>21</xdr:row>
      <xdr:rowOff>95250</xdr:rowOff>
    </xdr:from>
    <xdr:to>
      <xdr:col>25</xdr:col>
      <xdr:colOff>266700</xdr:colOff>
      <xdr:row>38</xdr:row>
      <xdr:rowOff>19919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pSpPr/>
      </xdr:nvGrpSpPr>
      <xdr:grpSpPr>
        <a:xfrm>
          <a:off x="9305925" y="3857625"/>
          <a:ext cx="447675" cy="2848844"/>
          <a:chOff x="9305925" y="3743325"/>
          <a:chExt cx="447675" cy="2848844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GrpSpPr/>
        </xdr:nvGrpSpPr>
        <xdr:grpSpPr>
          <a:xfrm>
            <a:off x="9420225" y="61245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>
              <a:extLst>
                <a:ext uri="{FF2B5EF4-FFF2-40B4-BE49-F238E27FC236}">
                  <a16:creationId xmlns:a16="http://schemas.microsoft.com/office/drawing/2014/main" xmlns="" id="{00000000-0008-0000-0600-000009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xmlns="" id="{00000000-0008-0000-0600-00000A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05925" y="37433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66675</xdr:rowOff>
    </xdr:from>
    <xdr:to>
      <xdr:col>24</xdr:col>
      <xdr:colOff>0</xdr:colOff>
      <xdr:row>35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85725</xdr:colOff>
      <xdr:row>0</xdr:row>
      <xdr:rowOff>66675</xdr:rowOff>
    </xdr:from>
    <xdr:to>
      <xdr:col>24</xdr:col>
      <xdr:colOff>279977</xdr:colOff>
      <xdr:row>12</xdr:row>
      <xdr:rowOff>95250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pSpPr/>
      </xdr:nvGrpSpPr>
      <xdr:grpSpPr>
        <a:xfrm>
          <a:off x="9277350" y="66675"/>
          <a:ext cx="346652" cy="2105025"/>
          <a:chOff x="9277350" y="66675"/>
          <a:chExt cx="346652" cy="210502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700-00000A000000}"/>
              </a:ext>
            </a:extLst>
          </xdr:cNvPr>
          <xdr:cNvGrpSpPr/>
        </xdr:nvGrpSpPr>
        <xdr:grpSpPr>
          <a:xfrm>
            <a:off x="9277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700-00000B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700-00000C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3450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showGridLines="0" view="pageBreakPreview" zoomScaleSheetLayoutView="100" workbookViewId="0">
      <selection activeCell="H23" sqref="H23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4" customFormat="1" x14ac:dyDescent="0.3">
      <c r="A1" s="1"/>
      <c r="B1" s="1" t="s">
        <v>0</v>
      </c>
      <c r="C1" s="2">
        <v>14.1</v>
      </c>
      <c r="D1" s="1" t="s">
        <v>331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 x14ac:dyDescent="0.3">
      <c r="A2" s="5"/>
      <c r="B2" s="1" t="s">
        <v>75</v>
      </c>
      <c r="C2" s="2">
        <v>14.1</v>
      </c>
      <c r="D2" s="1" t="s">
        <v>332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</row>
    <row r="5" spans="1:15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1"/>
    </row>
    <row r="6" spans="1:15" s="6" customFormat="1" ht="20.25" customHeight="1" x14ac:dyDescent="0.3">
      <c r="A6" s="267" t="s">
        <v>3</v>
      </c>
      <c r="B6" s="268"/>
      <c r="C6" s="268"/>
      <c r="D6" s="269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56"/>
    </row>
    <row r="7" spans="1:15" s="6" customFormat="1" ht="20.25" customHeight="1" x14ac:dyDescent="0.3">
      <c r="A7" s="272" t="s">
        <v>14</v>
      </c>
      <c r="B7" s="272"/>
      <c r="C7" s="272"/>
      <c r="D7" s="273"/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1" t="s">
        <v>87</v>
      </c>
    </row>
    <row r="8" spans="1:15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4" t="s">
        <v>77</v>
      </c>
    </row>
    <row r="9" spans="1:15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65"/>
    </row>
    <row r="10" spans="1:15" ht="21" customHeight="1" x14ac:dyDescent="0.3">
      <c r="A10" s="274" t="s">
        <v>200</v>
      </c>
      <c r="B10" s="274"/>
      <c r="C10" s="274"/>
      <c r="D10" s="275"/>
      <c r="E10" s="205">
        <v>3388</v>
      </c>
      <c r="F10" s="206">
        <v>0</v>
      </c>
      <c r="G10" s="207">
        <v>604</v>
      </c>
      <c r="H10" s="206">
        <v>0</v>
      </c>
      <c r="I10" s="207">
        <v>2774</v>
      </c>
      <c r="J10" s="206" t="s">
        <v>305</v>
      </c>
      <c r="K10" s="206">
        <v>10</v>
      </c>
      <c r="L10" s="206" t="s">
        <v>305</v>
      </c>
      <c r="M10" s="206" t="s">
        <v>305</v>
      </c>
      <c r="N10" s="206" t="s">
        <v>305</v>
      </c>
    </row>
    <row r="11" spans="1:15" ht="21" customHeight="1" x14ac:dyDescent="0.3">
      <c r="A11" s="274" t="s">
        <v>201</v>
      </c>
      <c r="B11" s="274"/>
      <c r="C11" s="274"/>
      <c r="D11" s="275"/>
      <c r="E11" s="205">
        <v>2454</v>
      </c>
      <c r="F11" s="206">
        <v>0</v>
      </c>
      <c r="G11" s="207">
        <v>638</v>
      </c>
      <c r="H11" s="206">
        <v>0</v>
      </c>
      <c r="I11" s="207">
        <v>1805</v>
      </c>
      <c r="J11" s="206" t="s">
        <v>305</v>
      </c>
      <c r="K11" s="206">
        <v>11</v>
      </c>
      <c r="L11" s="206" t="s">
        <v>305</v>
      </c>
      <c r="M11" s="206" t="s">
        <v>305</v>
      </c>
      <c r="N11" s="206" t="s">
        <v>305</v>
      </c>
    </row>
    <row r="12" spans="1:15" ht="21" customHeight="1" x14ac:dyDescent="0.3">
      <c r="A12" s="274" t="s">
        <v>202</v>
      </c>
      <c r="B12" s="274"/>
      <c r="C12" s="274"/>
      <c r="D12" s="275"/>
      <c r="E12" s="208">
        <v>2616</v>
      </c>
      <c r="F12" s="206">
        <v>0</v>
      </c>
      <c r="G12" s="207">
        <v>682</v>
      </c>
      <c r="H12" s="206">
        <v>0</v>
      </c>
      <c r="I12" s="207">
        <v>1922</v>
      </c>
      <c r="J12" s="206" t="s">
        <v>305</v>
      </c>
      <c r="K12" s="206">
        <v>12</v>
      </c>
      <c r="L12" s="206" t="s">
        <v>305</v>
      </c>
      <c r="M12" s="206" t="s">
        <v>305</v>
      </c>
      <c r="N12" s="206" t="s">
        <v>305</v>
      </c>
    </row>
    <row r="13" spans="1:15" ht="21" customHeight="1" x14ac:dyDescent="0.3">
      <c r="A13" s="274" t="s">
        <v>203</v>
      </c>
      <c r="B13" s="274"/>
      <c r="C13" s="274"/>
      <c r="D13" s="275"/>
      <c r="E13" s="208">
        <v>2017</v>
      </c>
      <c r="F13" s="207">
        <v>27809</v>
      </c>
      <c r="G13" s="209">
        <v>580</v>
      </c>
      <c r="H13" s="207">
        <v>21748.29</v>
      </c>
      <c r="I13" s="209">
        <v>1432</v>
      </c>
      <c r="J13" s="206">
        <v>6042.94</v>
      </c>
      <c r="K13" s="206">
        <v>5</v>
      </c>
      <c r="L13" s="206">
        <v>17.739999999999998</v>
      </c>
      <c r="M13" s="206" t="s">
        <v>305</v>
      </c>
      <c r="N13" s="206" t="s">
        <v>305</v>
      </c>
    </row>
    <row r="14" spans="1:15" ht="21" customHeight="1" x14ac:dyDescent="0.3">
      <c r="A14" s="274" t="s">
        <v>204</v>
      </c>
      <c r="B14" s="274"/>
      <c r="C14" s="274"/>
      <c r="D14" s="275"/>
      <c r="E14" s="208">
        <f t="shared" ref="E14:F18" si="0">+G14+I14+K14</f>
        <v>2362</v>
      </c>
      <c r="F14" s="207">
        <f>+H14+J14+L14</f>
        <v>31044.579999999998</v>
      </c>
      <c r="G14" s="209">
        <v>770</v>
      </c>
      <c r="H14" s="207">
        <v>24826.67</v>
      </c>
      <c r="I14" s="209">
        <v>1587</v>
      </c>
      <c r="J14" s="206">
        <v>6201.07</v>
      </c>
      <c r="K14" s="206">
        <v>5</v>
      </c>
      <c r="L14" s="206">
        <v>16.84</v>
      </c>
      <c r="M14" s="206" t="s">
        <v>305</v>
      </c>
      <c r="N14" s="206" t="s">
        <v>305</v>
      </c>
    </row>
    <row r="15" spans="1:15" ht="21" customHeight="1" x14ac:dyDescent="0.3">
      <c r="A15" s="274" t="s">
        <v>205</v>
      </c>
      <c r="B15" s="274"/>
      <c r="C15" s="274"/>
      <c r="D15" s="275"/>
      <c r="E15" s="208">
        <f t="shared" si="0"/>
        <v>2750</v>
      </c>
      <c r="F15" s="207">
        <f t="shared" si="0"/>
        <v>32083.040000000001</v>
      </c>
      <c r="G15" s="209">
        <v>891</v>
      </c>
      <c r="H15" s="207">
        <v>25516.720000000001</v>
      </c>
      <c r="I15" s="209">
        <v>1854</v>
      </c>
      <c r="J15" s="207">
        <v>6549.48</v>
      </c>
      <c r="K15" s="206">
        <v>5</v>
      </c>
      <c r="L15" s="206">
        <v>16.84</v>
      </c>
      <c r="M15" s="206" t="s">
        <v>305</v>
      </c>
      <c r="N15" s="206" t="s">
        <v>305</v>
      </c>
    </row>
    <row r="16" spans="1:15" ht="21" customHeight="1" x14ac:dyDescent="0.3">
      <c r="A16" s="274" t="s">
        <v>206</v>
      </c>
      <c r="B16" s="274"/>
      <c r="C16" s="274"/>
      <c r="D16" s="275"/>
      <c r="E16" s="208">
        <f t="shared" si="0"/>
        <v>3016</v>
      </c>
      <c r="F16" s="207">
        <f>+H16+J16+L16</f>
        <v>33582.939999999995</v>
      </c>
      <c r="G16" s="209">
        <v>998</v>
      </c>
      <c r="H16" s="207">
        <v>26805.52</v>
      </c>
      <c r="I16" s="209">
        <v>2012</v>
      </c>
      <c r="J16" s="207">
        <v>6759.58</v>
      </c>
      <c r="K16" s="206">
        <v>6</v>
      </c>
      <c r="L16" s="206">
        <v>17.84</v>
      </c>
      <c r="M16" s="206" t="s">
        <v>305</v>
      </c>
      <c r="N16" s="206" t="s">
        <v>305</v>
      </c>
    </row>
    <row r="17" spans="1:14" ht="21" customHeight="1" x14ac:dyDescent="0.3">
      <c r="A17" s="274" t="s">
        <v>207</v>
      </c>
      <c r="B17" s="274"/>
      <c r="C17" s="274"/>
      <c r="D17" s="275"/>
      <c r="E17" s="208">
        <f t="shared" si="0"/>
        <v>3443</v>
      </c>
      <c r="F17" s="207">
        <f t="shared" si="0"/>
        <v>34452.93</v>
      </c>
      <c r="G17" s="209">
        <v>1162</v>
      </c>
      <c r="H17" s="210">
        <v>27279.4</v>
      </c>
      <c r="I17" s="207">
        <v>2275</v>
      </c>
      <c r="J17" s="207">
        <v>7154.69</v>
      </c>
      <c r="K17" s="206">
        <v>6</v>
      </c>
      <c r="L17" s="206">
        <v>18.84</v>
      </c>
      <c r="M17" s="206" t="s">
        <v>305</v>
      </c>
      <c r="N17" s="206" t="s">
        <v>305</v>
      </c>
    </row>
    <row r="18" spans="1:14" ht="21" customHeight="1" x14ac:dyDescent="0.3">
      <c r="A18" s="274" t="s">
        <v>208</v>
      </c>
      <c r="B18" s="274"/>
      <c r="C18" s="274"/>
      <c r="D18" s="275"/>
      <c r="E18" s="208">
        <v>3786</v>
      </c>
      <c r="F18" s="207">
        <f t="shared" si="0"/>
        <v>37051.480000000003</v>
      </c>
      <c r="G18" s="209">
        <v>1352</v>
      </c>
      <c r="H18" s="210">
        <v>27662.15</v>
      </c>
      <c r="I18" s="207">
        <v>2429</v>
      </c>
      <c r="J18" s="207">
        <v>9370.83</v>
      </c>
      <c r="K18" s="206">
        <v>5</v>
      </c>
      <c r="L18" s="206">
        <v>18.5</v>
      </c>
      <c r="M18" s="206" t="s">
        <v>305</v>
      </c>
      <c r="N18" s="206" t="s">
        <v>305</v>
      </c>
    </row>
    <row r="19" spans="1:14" ht="21" customHeight="1" x14ac:dyDescent="0.3">
      <c r="A19" s="274" t="s">
        <v>209</v>
      </c>
      <c r="B19" s="274"/>
      <c r="C19" s="274"/>
      <c r="D19" s="275"/>
      <c r="E19" s="211">
        <v>4118</v>
      </c>
      <c r="F19" s="207">
        <f>+H19+J19+L19</f>
        <v>41477.204120000002</v>
      </c>
      <c r="G19" s="212">
        <v>1538</v>
      </c>
      <c r="H19" s="213">
        <f>(31455603200/1000000)</f>
        <v>31455.603200000001</v>
      </c>
      <c r="I19" s="214">
        <v>2574</v>
      </c>
      <c r="J19" s="214">
        <f>(10002750920/1000000)</f>
        <v>10002.75092</v>
      </c>
      <c r="K19" s="215">
        <v>6</v>
      </c>
      <c r="L19" s="215">
        <f>(18850000/1000000)</f>
        <v>18.850000000000001</v>
      </c>
      <c r="M19" s="215">
        <v>0</v>
      </c>
      <c r="N19" s="215">
        <v>0</v>
      </c>
    </row>
    <row r="20" spans="1:14" ht="3" customHeight="1" x14ac:dyDescent="0.3">
      <c r="A20" s="8"/>
      <c r="B20" s="8"/>
      <c r="C20" s="8"/>
      <c r="D20" s="21"/>
      <c r="E20" s="179"/>
      <c r="F20" s="21"/>
      <c r="G20" s="21"/>
      <c r="H20" s="8"/>
      <c r="I20" s="179"/>
      <c r="J20" s="179"/>
      <c r="K20" s="22"/>
      <c r="L20" s="22"/>
      <c r="M20" s="22"/>
      <c r="N20" s="22"/>
    </row>
    <row r="21" spans="1:14" ht="3" customHeight="1" x14ac:dyDescent="0.3"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3">
      <c r="B22" s="23" t="s">
        <v>210</v>
      </c>
    </row>
    <row r="23" spans="1:14" s="6" customFormat="1" ht="17.25" x14ac:dyDescent="0.3">
      <c r="A23" s="23"/>
      <c r="B23" s="24" t="s">
        <v>211</v>
      </c>
      <c r="C23" s="24"/>
      <c r="D23" s="24"/>
      <c r="E23" s="24"/>
      <c r="F23" s="24"/>
      <c r="J23" s="180"/>
      <c r="K23" s="23"/>
      <c r="L23" s="23"/>
      <c r="M23" s="23"/>
      <c r="N23" s="23"/>
    </row>
    <row r="24" spans="1:14" x14ac:dyDescent="0.3">
      <c r="B24" s="24" t="s">
        <v>333</v>
      </c>
      <c r="C24" s="24"/>
      <c r="D24" s="23"/>
      <c r="E24" s="23"/>
      <c r="F24" s="23"/>
      <c r="G24" s="23"/>
      <c r="H24" s="23"/>
      <c r="I24" s="24" t="s">
        <v>70</v>
      </c>
      <c r="J24" s="24"/>
      <c r="K24" s="23"/>
      <c r="L24" s="23"/>
      <c r="M24" s="23"/>
    </row>
  </sheetData>
  <mergeCells count="24">
    <mergeCell ref="A16:D16"/>
    <mergeCell ref="A17:D17"/>
    <mergeCell ref="A18:D18"/>
    <mergeCell ref="A19:D19"/>
    <mergeCell ref="A11:D11"/>
    <mergeCell ref="A12:D12"/>
    <mergeCell ref="A13:D13"/>
    <mergeCell ref="A14:D14"/>
    <mergeCell ref="A15:D15"/>
    <mergeCell ref="A6:D6"/>
    <mergeCell ref="A5:D5"/>
    <mergeCell ref="E5:F5"/>
    <mergeCell ref="A7:D7"/>
    <mergeCell ref="A10:D10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showGridLines="0" tabSelected="1" view="pageBreakPreview" zoomScaleSheetLayoutView="100" workbookViewId="0">
      <selection activeCell="B50" sqref="B50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20" s="4" customFormat="1" x14ac:dyDescent="0.3">
      <c r="A1" s="1"/>
      <c r="B1" s="1" t="s">
        <v>0</v>
      </c>
      <c r="C1" s="2">
        <v>14.2</v>
      </c>
      <c r="D1" s="1" t="s">
        <v>212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20" s="7" customFormat="1" x14ac:dyDescent="0.3">
      <c r="A2" s="5"/>
      <c r="B2" s="1" t="s">
        <v>75</v>
      </c>
      <c r="C2" s="2">
        <v>14.2</v>
      </c>
      <c r="D2" s="1" t="s">
        <v>213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0" ht="3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20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  <c r="O4" s="25"/>
    </row>
    <row r="5" spans="1:20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20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20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20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20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3"/>
      <c r="O9" s="25"/>
    </row>
    <row r="10" spans="1:20" ht="20.100000000000001" customHeight="1" x14ac:dyDescent="0.3">
      <c r="A10" s="276" t="s">
        <v>15</v>
      </c>
      <c r="B10" s="276"/>
      <c r="C10" s="276"/>
      <c r="D10" s="277"/>
      <c r="E10" s="216">
        <f>SUM(E11:E28,E39:E45)</f>
        <v>4118</v>
      </c>
      <c r="F10" s="216">
        <f t="shared" ref="F10:N10" si="0">SUM(F11:F28,F39:F45)</f>
        <v>41477.204119999995</v>
      </c>
      <c r="G10" s="216">
        <f>SUM(G11:G28,G39:G45)</f>
        <v>1538</v>
      </c>
      <c r="H10" s="216">
        <f t="shared" si="0"/>
        <v>31455.75</v>
      </c>
      <c r="I10" s="216">
        <f t="shared" si="0"/>
        <v>2574</v>
      </c>
      <c r="J10" s="216">
        <f t="shared" si="0"/>
        <v>10002.75092</v>
      </c>
      <c r="K10" s="216">
        <f>SUM(K11:K28,K39:K45)</f>
        <v>6</v>
      </c>
      <c r="L10" s="216">
        <f t="shared" si="0"/>
        <v>18.5</v>
      </c>
      <c r="M10" s="216">
        <f t="shared" si="0"/>
        <v>0</v>
      </c>
      <c r="N10" s="216">
        <f t="shared" si="0"/>
        <v>0</v>
      </c>
      <c r="O10" s="185" t="s">
        <v>11</v>
      </c>
      <c r="S10" s="184"/>
    </row>
    <row r="11" spans="1:20" ht="20.100000000000001" customHeight="1" x14ac:dyDescent="0.3">
      <c r="A11" s="136"/>
      <c r="B11" s="139" t="s">
        <v>215</v>
      </c>
      <c r="C11" s="136"/>
      <c r="D11" s="137"/>
      <c r="E11" s="211">
        <v>2010</v>
      </c>
      <c r="F11" s="217">
        <f>(21413109720/1000000)</f>
        <v>21413.10972</v>
      </c>
      <c r="G11" s="217">
        <v>900</v>
      </c>
      <c r="H11" s="218">
        <v>13937</v>
      </c>
      <c r="I11" s="211">
        <v>1106</v>
      </c>
      <c r="J11" s="211">
        <f>(5463071520/1000000)</f>
        <v>5463.0715200000004</v>
      </c>
      <c r="K11" s="219">
        <v>4</v>
      </c>
      <c r="L11" s="219">
        <f>(15500000/1000000)</f>
        <v>15.5</v>
      </c>
      <c r="M11" s="220">
        <v>0</v>
      </c>
      <c r="N11" s="220">
        <v>0</v>
      </c>
      <c r="O11" s="166" t="s">
        <v>306</v>
      </c>
      <c r="R11" s="184"/>
      <c r="T11" s="184"/>
    </row>
    <row r="12" spans="1:20" ht="20.100000000000001" customHeight="1" x14ac:dyDescent="0.3">
      <c r="A12" s="136"/>
      <c r="B12" s="139" t="s">
        <v>216</v>
      </c>
      <c r="C12" s="136"/>
      <c r="D12" s="137"/>
      <c r="E12" s="211">
        <v>33</v>
      </c>
      <c r="F12" s="217">
        <f>(127800000/1000000)</f>
        <v>127.8</v>
      </c>
      <c r="G12" s="217">
        <v>7</v>
      </c>
      <c r="H12" s="218">
        <f>(24000000/1000000)</f>
        <v>24</v>
      </c>
      <c r="I12" s="211">
        <v>26</v>
      </c>
      <c r="J12" s="211">
        <f>(103800000/1000000)</f>
        <v>103.8</v>
      </c>
      <c r="K12" s="220">
        <v>0</v>
      </c>
      <c r="L12" s="220">
        <v>0</v>
      </c>
      <c r="M12" s="220">
        <v>0</v>
      </c>
      <c r="N12" s="220">
        <v>0</v>
      </c>
      <c r="O12" s="166" t="s">
        <v>307</v>
      </c>
      <c r="T12" s="184"/>
    </row>
    <row r="13" spans="1:20" ht="20.100000000000001" customHeight="1" x14ac:dyDescent="0.3">
      <c r="A13" s="136"/>
      <c r="B13" s="139" t="s">
        <v>217</v>
      </c>
      <c r="C13" s="136"/>
      <c r="D13" s="137"/>
      <c r="E13" s="211">
        <v>23</v>
      </c>
      <c r="F13" s="217">
        <f>(36500000/1000000)</f>
        <v>36.5</v>
      </c>
      <c r="G13" s="217">
        <v>4</v>
      </c>
      <c r="H13" s="218">
        <f>(13000000/1000000)</f>
        <v>13</v>
      </c>
      <c r="I13" s="211">
        <v>19</v>
      </c>
      <c r="J13" s="211">
        <f>(23500000/1000000)</f>
        <v>23.5</v>
      </c>
      <c r="K13" s="220">
        <v>0</v>
      </c>
      <c r="L13" s="220">
        <v>0</v>
      </c>
      <c r="M13" s="220">
        <v>0</v>
      </c>
      <c r="N13" s="220">
        <v>0</v>
      </c>
      <c r="O13" s="166" t="s">
        <v>308</v>
      </c>
      <c r="T13" s="184"/>
    </row>
    <row r="14" spans="1:20" ht="20.100000000000001" customHeight="1" x14ac:dyDescent="0.3">
      <c r="A14" s="6"/>
      <c r="B14" s="139" t="s">
        <v>218</v>
      </c>
      <c r="C14" s="6"/>
      <c r="D14" s="140"/>
      <c r="E14" s="211">
        <v>119</v>
      </c>
      <c r="F14" s="217">
        <f>(792849000/1000000)</f>
        <v>792.84900000000005</v>
      </c>
      <c r="G14" s="217">
        <v>27</v>
      </c>
      <c r="H14" s="218">
        <f>(281500000/1000000)</f>
        <v>281.5</v>
      </c>
      <c r="I14" s="211">
        <v>92</v>
      </c>
      <c r="J14" s="211">
        <f>(511349000/1000000)</f>
        <v>511.34899999999999</v>
      </c>
      <c r="K14" s="220">
        <v>0</v>
      </c>
      <c r="L14" s="220">
        <v>0</v>
      </c>
      <c r="M14" s="220">
        <v>0</v>
      </c>
      <c r="N14" s="220">
        <v>0</v>
      </c>
      <c r="O14" s="167" t="s">
        <v>309</v>
      </c>
      <c r="T14" s="184"/>
    </row>
    <row r="15" spans="1:20" ht="20.100000000000001" customHeight="1" x14ac:dyDescent="0.3">
      <c r="A15" s="6"/>
      <c r="B15" s="139" t="s">
        <v>219</v>
      </c>
      <c r="C15" s="6"/>
      <c r="D15" s="140"/>
      <c r="E15" s="211">
        <v>117</v>
      </c>
      <c r="F15" s="217">
        <f>(1343190000/1000000)</f>
        <v>1343.19</v>
      </c>
      <c r="G15" s="217">
        <v>29</v>
      </c>
      <c r="H15" s="218">
        <v>1019</v>
      </c>
      <c r="I15" s="211">
        <v>88</v>
      </c>
      <c r="J15" s="211">
        <f>(211190000/1000000)</f>
        <v>211.19</v>
      </c>
      <c r="K15" s="220">
        <v>0</v>
      </c>
      <c r="L15" s="220">
        <v>0</v>
      </c>
      <c r="M15" s="220">
        <v>0</v>
      </c>
      <c r="N15" s="220">
        <v>0</v>
      </c>
      <c r="O15" s="167" t="s">
        <v>310</v>
      </c>
      <c r="T15" s="184"/>
    </row>
    <row r="16" spans="1:20" ht="20.100000000000001" customHeight="1" x14ac:dyDescent="0.3">
      <c r="A16" s="6"/>
      <c r="B16" s="139" t="s">
        <v>220</v>
      </c>
      <c r="C16" s="6"/>
      <c r="D16" s="140"/>
      <c r="E16" s="211">
        <v>191</v>
      </c>
      <c r="F16" s="217">
        <f>(742520000/1000000)</f>
        <v>742.52</v>
      </c>
      <c r="G16" s="217">
        <v>61</v>
      </c>
      <c r="H16" s="218">
        <v>3070</v>
      </c>
      <c r="I16" s="211">
        <v>130</v>
      </c>
      <c r="J16" s="211">
        <f>(383920000/1000000)</f>
        <v>383.92</v>
      </c>
      <c r="K16" s="220">
        <v>0</v>
      </c>
      <c r="L16" s="220">
        <v>0</v>
      </c>
      <c r="M16" s="220">
        <v>0</v>
      </c>
      <c r="N16" s="220">
        <v>0</v>
      </c>
      <c r="O16" s="167" t="s">
        <v>311</v>
      </c>
      <c r="T16" s="184"/>
    </row>
    <row r="17" spans="1:20" ht="20.100000000000001" customHeight="1" x14ac:dyDescent="0.3">
      <c r="A17" s="6"/>
      <c r="B17" s="139" t="s">
        <v>221</v>
      </c>
      <c r="C17" s="6"/>
      <c r="D17" s="140"/>
      <c r="E17" s="211">
        <v>21</v>
      </c>
      <c r="F17" s="217">
        <f>(95500000/1000000)</f>
        <v>95.5</v>
      </c>
      <c r="G17" s="217">
        <v>5</v>
      </c>
      <c r="H17" s="218">
        <f>(9000000/1000000)</f>
        <v>9</v>
      </c>
      <c r="I17" s="211">
        <v>16</v>
      </c>
      <c r="J17" s="211">
        <f>(86500000/1000000)</f>
        <v>86.5</v>
      </c>
      <c r="K17" s="220">
        <v>0</v>
      </c>
      <c r="L17" s="220">
        <v>0</v>
      </c>
      <c r="M17" s="220">
        <v>0</v>
      </c>
      <c r="N17" s="220">
        <v>0</v>
      </c>
      <c r="O17" s="166" t="s">
        <v>312</v>
      </c>
      <c r="T17" s="184"/>
    </row>
    <row r="18" spans="1:20" ht="20.100000000000001" customHeight="1" x14ac:dyDescent="0.3">
      <c r="A18" s="6"/>
      <c r="B18" s="139" t="s">
        <v>222</v>
      </c>
      <c r="C18" s="6"/>
      <c r="D18" s="140"/>
      <c r="E18" s="211">
        <v>81</v>
      </c>
      <c r="F18" s="217">
        <f>(1227600000/1000000)</f>
        <v>1227.5999999999999</v>
      </c>
      <c r="G18" s="217">
        <v>28</v>
      </c>
      <c r="H18" s="218">
        <f>(1109700000/1000000)</f>
        <v>1109.7</v>
      </c>
      <c r="I18" s="211">
        <v>53</v>
      </c>
      <c r="J18" s="211">
        <f>(117900000/1000000)</f>
        <v>117.9</v>
      </c>
      <c r="K18" s="220">
        <v>0</v>
      </c>
      <c r="L18" s="220">
        <v>0</v>
      </c>
      <c r="M18" s="220">
        <v>0</v>
      </c>
      <c r="N18" s="220">
        <v>0</v>
      </c>
      <c r="O18" s="167" t="s">
        <v>313</v>
      </c>
      <c r="T18" s="184"/>
    </row>
    <row r="19" spans="1:20" ht="20.100000000000001" customHeight="1" x14ac:dyDescent="0.3">
      <c r="A19" s="6"/>
      <c r="B19" s="139" t="s">
        <v>223</v>
      </c>
      <c r="C19" s="6"/>
      <c r="D19" s="140"/>
      <c r="E19" s="211">
        <v>59</v>
      </c>
      <c r="F19" s="217">
        <f>(148890000/1000000)</f>
        <v>148.88999999999999</v>
      </c>
      <c r="G19" s="217">
        <v>12</v>
      </c>
      <c r="H19" s="218">
        <v>37</v>
      </c>
      <c r="I19" s="211">
        <v>47</v>
      </c>
      <c r="J19" s="211">
        <f>(111390000/1000000)</f>
        <v>111.39</v>
      </c>
      <c r="K19" s="220">
        <v>0</v>
      </c>
      <c r="L19" s="220">
        <v>0</v>
      </c>
      <c r="M19" s="220">
        <v>0</v>
      </c>
      <c r="N19" s="220">
        <v>0</v>
      </c>
      <c r="O19" s="166" t="s">
        <v>314</v>
      </c>
      <c r="T19" s="184"/>
    </row>
    <row r="20" spans="1:20" ht="20.100000000000001" customHeight="1" x14ac:dyDescent="0.3">
      <c r="A20" s="6"/>
      <c r="B20" s="139" t="s">
        <v>224</v>
      </c>
      <c r="C20" s="6"/>
      <c r="D20" s="140"/>
      <c r="E20" s="211">
        <v>133</v>
      </c>
      <c r="F20" s="217">
        <f>(1698920000/1000000)</f>
        <v>1698.92</v>
      </c>
      <c r="G20" s="217">
        <v>31</v>
      </c>
      <c r="H20" s="218">
        <f>(1360700000/1000000)</f>
        <v>1360.7</v>
      </c>
      <c r="I20" s="211">
        <v>102</v>
      </c>
      <c r="J20" s="211">
        <f>(337870000/1000000)</f>
        <v>337.87</v>
      </c>
      <c r="K20" s="220">
        <v>0</v>
      </c>
      <c r="L20" s="220">
        <v>0</v>
      </c>
      <c r="M20" s="220">
        <v>0</v>
      </c>
      <c r="N20" s="220">
        <v>0</v>
      </c>
      <c r="O20" s="167" t="s">
        <v>315</v>
      </c>
      <c r="T20" s="184"/>
    </row>
    <row r="21" spans="1:20" ht="20.100000000000001" customHeight="1" x14ac:dyDescent="0.3">
      <c r="A21" s="6"/>
      <c r="B21" s="139" t="s">
        <v>225</v>
      </c>
      <c r="C21" s="6"/>
      <c r="D21" s="140"/>
      <c r="E21" s="211">
        <v>19</v>
      </c>
      <c r="F21" s="217">
        <f>(33900000/1000000)</f>
        <v>33.9</v>
      </c>
      <c r="G21" s="217">
        <v>1</v>
      </c>
      <c r="H21" s="218">
        <f>(5000000/1000000)</f>
        <v>5</v>
      </c>
      <c r="I21" s="211">
        <v>18</v>
      </c>
      <c r="J21" s="211">
        <f>(28900000/1000000)</f>
        <v>28.9</v>
      </c>
      <c r="K21" s="220">
        <v>0</v>
      </c>
      <c r="L21" s="220">
        <v>0</v>
      </c>
      <c r="M21" s="220">
        <v>0</v>
      </c>
      <c r="N21" s="220">
        <v>0</v>
      </c>
      <c r="O21" s="167" t="s">
        <v>316</v>
      </c>
      <c r="T21" s="184"/>
    </row>
    <row r="22" spans="1:20" ht="20.100000000000001" customHeight="1" x14ac:dyDescent="0.3">
      <c r="A22" s="6"/>
      <c r="B22" s="139" t="s">
        <v>226</v>
      </c>
      <c r="C22" s="6"/>
      <c r="D22" s="140"/>
      <c r="E22" s="211">
        <v>68</v>
      </c>
      <c r="F22" s="217">
        <f>(1329050000/1000000)</f>
        <v>1329.05</v>
      </c>
      <c r="G22" s="217">
        <v>22</v>
      </c>
      <c r="H22" s="218">
        <f>(1258300000/1000000)</f>
        <v>1258.3</v>
      </c>
      <c r="I22" s="211">
        <v>46</v>
      </c>
      <c r="J22" s="211">
        <f>(70750000/1000000)</f>
        <v>70.75</v>
      </c>
      <c r="K22" s="220">
        <v>0</v>
      </c>
      <c r="L22" s="220">
        <v>0</v>
      </c>
      <c r="M22" s="220">
        <v>0</v>
      </c>
      <c r="N22" s="220">
        <v>0</v>
      </c>
      <c r="O22" s="166" t="s">
        <v>317</v>
      </c>
      <c r="T22" s="184"/>
    </row>
    <row r="23" spans="1:20" ht="20.100000000000001" customHeight="1" x14ac:dyDescent="0.3">
      <c r="A23" s="6"/>
      <c r="B23" s="139" t="s">
        <v>227</v>
      </c>
      <c r="C23" s="6"/>
      <c r="D23" s="140"/>
      <c r="E23" s="211">
        <v>704</v>
      </c>
      <c r="F23" s="217">
        <f>(5110034200/1000000)</f>
        <v>5110.0342000000001</v>
      </c>
      <c r="G23" s="217">
        <v>277</v>
      </c>
      <c r="H23" s="218">
        <v>3086</v>
      </c>
      <c r="I23" s="211">
        <v>425</v>
      </c>
      <c r="J23" s="211">
        <f>(1420819200/1000000)</f>
        <v>1420.8191999999999</v>
      </c>
      <c r="K23" s="219">
        <v>2</v>
      </c>
      <c r="L23" s="219">
        <f>(3000000/1000000)</f>
        <v>3</v>
      </c>
      <c r="M23" s="220">
        <v>0</v>
      </c>
      <c r="N23" s="220">
        <v>0</v>
      </c>
      <c r="O23" s="167" t="s">
        <v>318</v>
      </c>
      <c r="T23" s="184"/>
    </row>
    <row r="24" spans="1:20" ht="20.100000000000001" customHeight="1" x14ac:dyDescent="0.3">
      <c r="A24" s="6"/>
      <c r="B24" s="139" t="s">
        <v>228</v>
      </c>
      <c r="C24" s="6"/>
      <c r="D24" s="140"/>
      <c r="E24" s="211">
        <v>185</v>
      </c>
      <c r="F24" s="217">
        <f>(919391200/1000000)</f>
        <v>919.39120000000003</v>
      </c>
      <c r="G24" s="217">
        <v>48</v>
      </c>
      <c r="H24" s="218">
        <f>(371550000/1000000)</f>
        <v>371.55</v>
      </c>
      <c r="I24" s="211">
        <v>137</v>
      </c>
      <c r="J24" s="211">
        <f>(547841200/1000000)</f>
        <v>547.84119999999996</v>
      </c>
      <c r="K24" s="220">
        <v>0</v>
      </c>
      <c r="L24" s="220">
        <v>0</v>
      </c>
      <c r="M24" s="220">
        <v>0</v>
      </c>
      <c r="N24" s="220">
        <v>0</v>
      </c>
      <c r="O24" s="167" t="s">
        <v>319</v>
      </c>
      <c r="T24" s="184"/>
    </row>
    <row r="25" spans="1:20" ht="20.100000000000001" customHeight="1" x14ac:dyDescent="0.3">
      <c r="A25" s="4"/>
      <c r="B25" s="139" t="s">
        <v>229</v>
      </c>
      <c r="C25" s="136"/>
      <c r="D25" s="137"/>
      <c r="E25" s="211">
        <v>20</v>
      </c>
      <c r="F25" s="217">
        <f>(41750000/1000000)</f>
        <v>41.75</v>
      </c>
      <c r="G25" s="217">
        <v>1</v>
      </c>
      <c r="H25" s="218">
        <f>(3000000/1000000)</f>
        <v>3</v>
      </c>
      <c r="I25" s="211">
        <v>19</v>
      </c>
      <c r="J25" s="211">
        <f>(38750000/1000000)</f>
        <v>38.75</v>
      </c>
      <c r="K25" s="220">
        <v>0</v>
      </c>
      <c r="L25" s="220">
        <v>0</v>
      </c>
      <c r="M25" s="220">
        <v>0</v>
      </c>
      <c r="N25" s="220">
        <v>0</v>
      </c>
      <c r="O25" s="166" t="s">
        <v>320</v>
      </c>
      <c r="T25" s="184"/>
    </row>
    <row r="26" spans="1:20" ht="20.100000000000001" customHeight="1" x14ac:dyDescent="0.3">
      <c r="A26" s="4"/>
      <c r="B26" s="139" t="s">
        <v>230</v>
      </c>
      <c r="C26" s="136"/>
      <c r="D26" s="137"/>
      <c r="E26" s="211">
        <v>40</v>
      </c>
      <c r="F26" s="217">
        <f>(67750000/1000000)</f>
        <v>67.75</v>
      </c>
      <c r="G26" s="217">
        <v>3</v>
      </c>
      <c r="H26" s="218">
        <f>(4000000/1000000)</f>
        <v>4</v>
      </c>
      <c r="I26" s="211">
        <v>37</v>
      </c>
      <c r="J26" s="211">
        <f>(63750000/1000000)</f>
        <v>63.75</v>
      </c>
      <c r="K26" s="220">
        <v>0</v>
      </c>
      <c r="L26" s="220">
        <v>0</v>
      </c>
      <c r="M26" s="220">
        <v>0</v>
      </c>
      <c r="N26" s="220">
        <v>0</v>
      </c>
      <c r="O26" s="166" t="s">
        <v>321</v>
      </c>
      <c r="T26" s="184"/>
    </row>
    <row r="27" spans="1:20" ht="20.100000000000001" customHeight="1" x14ac:dyDescent="0.3">
      <c r="A27" s="4"/>
      <c r="B27" s="139" t="s">
        <v>231</v>
      </c>
      <c r="C27" s="136"/>
      <c r="D27" s="137"/>
      <c r="E27" s="211">
        <v>39</v>
      </c>
      <c r="F27" s="217">
        <f>(843270000/1000000)</f>
        <v>843.27</v>
      </c>
      <c r="G27" s="217">
        <v>13</v>
      </c>
      <c r="H27" s="218">
        <f>(808000000/1000000)</f>
        <v>808</v>
      </c>
      <c r="I27" s="211">
        <v>26</v>
      </c>
      <c r="J27" s="211">
        <f>(35270000/1000000)</f>
        <v>35.270000000000003</v>
      </c>
      <c r="K27" s="220">
        <v>0</v>
      </c>
      <c r="L27" s="220">
        <v>0</v>
      </c>
      <c r="M27" s="220">
        <v>0</v>
      </c>
      <c r="N27" s="220">
        <v>0</v>
      </c>
      <c r="O27" s="167" t="s">
        <v>322</v>
      </c>
      <c r="T27" s="184"/>
    </row>
    <row r="28" spans="1:20" ht="20.100000000000001" customHeight="1" x14ac:dyDescent="0.3">
      <c r="A28" s="4"/>
      <c r="B28" s="139" t="s">
        <v>232</v>
      </c>
      <c r="C28" s="6"/>
      <c r="D28" s="140"/>
      <c r="E28" s="211">
        <v>11</v>
      </c>
      <c r="F28" s="217">
        <f>(16000000/1000000)</f>
        <v>16</v>
      </c>
      <c r="G28" s="217">
        <v>2</v>
      </c>
      <c r="H28" s="218">
        <f>(2000000/1000000)</f>
        <v>2</v>
      </c>
      <c r="I28" s="211">
        <v>9</v>
      </c>
      <c r="J28" s="211">
        <f>(14000000/1000000)</f>
        <v>14</v>
      </c>
      <c r="K28" s="220">
        <v>0</v>
      </c>
      <c r="L28" s="220">
        <v>0</v>
      </c>
      <c r="M28" s="220">
        <v>0</v>
      </c>
      <c r="N28" s="220">
        <v>0</v>
      </c>
      <c r="O28" s="166" t="s">
        <v>323</v>
      </c>
      <c r="T28" s="184"/>
    </row>
    <row r="29" spans="1:20" ht="3" customHeight="1" x14ac:dyDescent="0.3">
      <c r="A29" s="3"/>
      <c r="B29" s="3"/>
      <c r="C29" s="3"/>
      <c r="D29" s="18"/>
      <c r="E29" s="181"/>
      <c r="F29" s="18"/>
      <c r="G29" s="18"/>
      <c r="H29" s="3"/>
      <c r="I29" s="181"/>
      <c r="J29" s="181"/>
      <c r="K29" s="178"/>
      <c r="L29" s="178"/>
      <c r="M29" s="170" t="s">
        <v>305</v>
      </c>
      <c r="N29" s="182" t="s">
        <v>305</v>
      </c>
      <c r="O29" s="178"/>
      <c r="T29" s="184"/>
    </row>
    <row r="30" spans="1:20" ht="3" customHeight="1" x14ac:dyDescent="0.3">
      <c r="T30" s="184"/>
    </row>
    <row r="31" spans="1:20" x14ac:dyDescent="0.3">
      <c r="A31" s="1"/>
      <c r="B31" s="1" t="s">
        <v>0</v>
      </c>
      <c r="C31" s="2">
        <v>14.2</v>
      </c>
      <c r="D31" s="1" t="s">
        <v>214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  <c r="T31" s="184"/>
    </row>
    <row r="32" spans="1:20" x14ac:dyDescent="0.3">
      <c r="A32" s="5"/>
      <c r="B32" s="1" t="s">
        <v>75</v>
      </c>
      <c r="C32" s="2">
        <v>14.2</v>
      </c>
      <c r="D32" s="1" t="s">
        <v>213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  <c r="T32" s="184"/>
    </row>
    <row r="33" spans="1:20" ht="12" customHeight="1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T33" s="184"/>
    </row>
    <row r="34" spans="1:20" x14ac:dyDescent="0.3">
      <c r="A34" s="10"/>
      <c r="B34" s="10"/>
      <c r="C34" s="10"/>
      <c r="D34" s="143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58"/>
      <c r="O34" s="25"/>
      <c r="P34" s="6"/>
      <c r="Q34" s="6"/>
      <c r="T34" s="184"/>
    </row>
    <row r="35" spans="1:20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  <c r="T35" s="184"/>
    </row>
    <row r="36" spans="1:20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  <c r="T36" s="184"/>
    </row>
    <row r="37" spans="1:20" ht="19.5" x14ac:dyDescent="0.3">
      <c r="A37" s="6"/>
      <c r="B37" s="6"/>
      <c r="C37" s="6"/>
      <c r="D37" s="140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  <c r="T37" s="184"/>
    </row>
    <row r="38" spans="1:20" x14ac:dyDescent="0.3">
      <c r="A38" s="144"/>
      <c r="B38" s="144"/>
      <c r="C38" s="144"/>
      <c r="D38" s="145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  <c r="T38" s="184"/>
    </row>
    <row r="39" spans="1:20" x14ac:dyDescent="0.3">
      <c r="A39" s="3"/>
      <c r="B39" s="139" t="s">
        <v>233</v>
      </c>
      <c r="C39" s="6"/>
      <c r="D39" s="140"/>
      <c r="E39" s="221">
        <v>71</v>
      </c>
      <c r="F39" s="221">
        <f>(163410000/1000000)</f>
        <v>163.41</v>
      </c>
      <c r="G39" s="222">
        <v>23</v>
      </c>
      <c r="H39" s="223">
        <f>(83000000/1000000)</f>
        <v>83</v>
      </c>
      <c r="I39" s="222">
        <v>48</v>
      </c>
      <c r="J39" s="222">
        <f>(80410000/1000000)</f>
        <v>80.41</v>
      </c>
      <c r="K39" s="224">
        <v>0</v>
      </c>
      <c r="L39" s="220">
        <v>0</v>
      </c>
      <c r="M39" s="224">
        <v>0</v>
      </c>
      <c r="N39" s="220">
        <v>0</v>
      </c>
      <c r="O39" s="166" t="s">
        <v>324</v>
      </c>
      <c r="P39" s="6"/>
      <c r="Q39" s="6"/>
      <c r="T39" s="184"/>
    </row>
    <row r="40" spans="1:20" x14ac:dyDescent="0.3">
      <c r="A40" s="3"/>
      <c r="B40" s="141" t="s">
        <v>234</v>
      </c>
      <c r="C40" s="6"/>
      <c r="D40" s="140"/>
      <c r="E40" s="225">
        <v>26</v>
      </c>
      <c r="F40" s="225">
        <f>(28300000/1000000)</f>
        <v>28.3</v>
      </c>
      <c r="G40" s="225">
        <v>4</v>
      </c>
      <c r="H40" s="226">
        <f>(4300000/1000000)</f>
        <v>4.3</v>
      </c>
      <c r="I40" s="225">
        <v>22</v>
      </c>
      <c r="J40" s="225">
        <f>(24000000/1000000)</f>
        <v>24</v>
      </c>
      <c r="K40" s="220">
        <v>0</v>
      </c>
      <c r="L40" s="220">
        <v>0</v>
      </c>
      <c r="M40" s="220">
        <v>0</v>
      </c>
      <c r="N40" s="220">
        <v>0</v>
      </c>
      <c r="O40" s="168" t="s">
        <v>325</v>
      </c>
      <c r="P40" s="6"/>
      <c r="Q40" s="6"/>
      <c r="T40" s="184"/>
    </row>
    <row r="41" spans="1:20" x14ac:dyDescent="0.3">
      <c r="A41" s="3"/>
      <c r="B41" s="139" t="s">
        <v>235</v>
      </c>
      <c r="C41" s="6"/>
      <c r="D41" s="140"/>
      <c r="E41" s="211">
        <v>23</v>
      </c>
      <c r="F41" s="217">
        <f>(4222400000/1000000)</f>
        <v>4222.3999999999996</v>
      </c>
      <c r="G41" s="217">
        <v>7</v>
      </c>
      <c r="H41" s="218">
        <f>(4095700000/1000000)</f>
        <v>4095.7</v>
      </c>
      <c r="I41" s="211">
        <v>16</v>
      </c>
      <c r="J41" s="211">
        <f>(126700000/1000000)</f>
        <v>126.7</v>
      </c>
      <c r="K41" s="220">
        <v>0</v>
      </c>
      <c r="L41" s="220">
        <v>0</v>
      </c>
      <c r="M41" s="220">
        <v>0</v>
      </c>
      <c r="N41" s="220">
        <v>0</v>
      </c>
      <c r="O41" s="169" t="s">
        <v>326</v>
      </c>
      <c r="T41" s="184"/>
    </row>
    <row r="42" spans="1:20" x14ac:dyDescent="0.3">
      <c r="A42" s="3"/>
      <c r="B42" s="139" t="s">
        <v>236</v>
      </c>
      <c r="C42" s="6"/>
      <c r="D42" s="140"/>
      <c r="E42" s="211">
        <v>31</v>
      </c>
      <c r="F42" s="217">
        <f>(65300000/1000000)</f>
        <v>65.3</v>
      </c>
      <c r="G42" s="217">
        <v>3</v>
      </c>
      <c r="H42" s="218">
        <f>(13000000/1000000)</f>
        <v>13</v>
      </c>
      <c r="I42" s="211">
        <v>28</v>
      </c>
      <c r="J42" s="211">
        <f>(52300000/1000000)</f>
        <v>52.3</v>
      </c>
      <c r="K42" s="220">
        <v>0</v>
      </c>
      <c r="L42" s="220">
        <v>0</v>
      </c>
      <c r="M42" s="220">
        <v>0</v>
      </c>
      <c r="N42" s="220">
        <v>0</v>
      </c>
      <c r="O42" s="167" t="s">
        <v>327</v>
      </c>
      <c r="T42" s="184"/>
    </row>
    <row r="43" spans="1:20" x14ac:dyDescent="0.3">
      <c r="A43" s="3"/>
      <c r="B43" s="142" t="s">
        <v>237</v>
      </c>
      <c r="C43" s="6"/>
      <c r="D43" s="140"/>
      <c r="E43" s="211">
        <v>30</v>
      </c>
      <c r="F43" s="217">
        <f>(51300000/1000000)</f>
        <v>51.3</v>
      </c>
      <c r="G43" s="217">
        <v>7</v>
      </c>
      <c r="H43" s="218">
        <f>(22000000/1000000)</f>
        <v>22</v>
      </c>
      <c r="I43" s="211">
        <v>23</v>
      </c>
      <c r="J43" s="211">
        <f>(29300000/1000000)</f>
        <v>29.3</v>
      </c>
      <c r="K43" s="220">
        <v>0</v>
      </c>
      <c r="L43" s="220">
        <v>0</v>
      </c>
      <c r="M43" s="220">
        <v>0</v>
      </c>
      <c r="N43" s="220">
        <v>0</v>
      </c>
      <c r="O43" s="167" t="s">
        <v>328</v>
      </c>
      <c r="T43" s="184"/>
    </row>
    <row r="44" spans="1:20" x14ac:dyDescent="0.3">
      <c r="A44" s="3"/>
      <c r="B44" s="139" t="s">
        <v>238</v>
      </c>
      <c r="C44" s="6"/>
      <c r="D44" s="140"/>
      <c r="E44" s="211">
        <v>47</v>
      </c>
      <c r="F44" s="217">
        <f>(935950000/1000000)</f>
        <v>935.95</v>
      </c>
      <c r="G44" s="217">
        <v>20</v>
      </c>
      <c r="H44" s="218">
        <f>(836000000/1000000)</f>
        <v>836</v>
      </c>
      <c r="I44" s="211">
        <v>27</v>
      </c>
      <c r="J44" s="211">
        <f>(99950000/1000000)</f>
        <v>99.95</v>
      </c>
      <c r="K44" s="220">
        <v>0</v>
      </c>
      <c r="L44" s="220">
        <v>0</v>
      </c>
      <c r="M44" s="220">
        <v>0</v>
      </c>
      <c r="N44" s="220">
        <v>0</v>
      </c>
      <c r="O44" s="167" t="s">
        <v>329</v>
      </c>
      <c r="T44" s="184"/>
    </row>
    <row r="45" spans="1:20" x14ac:dyDescent="0.3">
      <c r="A45" s="3"/>
      <c r="B45" s="139" t="s">
        <v>239</v>
      </c>
      <c r="C45" s="6"/>
      <c r="D45" s="140"/>
      <c r="E45" s="211">
        <v>17</v>
      </c>
      <c r="F45" s="217">
        <f>(22520000/1000000)</f>
        <v>22.52</v>
      </c>
      <c r="G45" s="217">
        <v>3</v>
      </c>
      <c r="H45" s="218">
        <f>(3000000/1000000)</f>
        <v>3</v>
      </c>
      <c r="I45" s="211">
        <v>14</v>
      </c>
      <c r="J45" s="211">
        <f>(19520000/1000000)</f>
        <v>19.52</v>
      </c>
      <c r="K45" s="220">
        <v>0</v>
      </c>
      <c r="L45" s="220">
        <v>0</v>
      </c>
      <c r="M45" s="220">
        <v>0</v>
      </c>
      <c r="N45" s="220">
        <v>0</v>
      </c>
      <c r="O45" s="167" t="s">
        <v>330</v>
      </c>
      <c r="T45" s="184"/>
    </row>
    <row r="46" spans="1:20" ht="7.5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171"/>
      <c r="L46" s="172"/>
      <c r="M46" s="171"/>
      <c r="N46" s="183"/>
      <c r="O46" s="22"/>
      <c r="T46" s="184"/>
    </row>
    <row r="47" spans="1:20" ht="6" customHeight="1" x14ac:dyDescent="0.3"/>
    <row r="48" spans="1:20" x14ac:dyDescent="0.3">
      <c r="B48" s="23" t="s">
        <v>210</v>
      </c>
      <c r="D48" s="6"/>
      <c r="E48" s="6"/>
      <c r="F48" s="138"/>
      <c r="G48" s="6"/>
      <c r="H48" s="138"/>
    </row>
    <row r="49" spans="1:17" x14ac:dyDescent="0.3">
      <c r="A49" s="23"/>
      <c r="B49" s="24" t="s">
        <v>211</v>
      </c>
      <c r="C49" s="24"/>
      <c r="D49" s="6"/>
      <c r="E49" s="6"/>
      <c r="F49" s="138"/>
      <c r="G49" s="6"/>
      <c r="H49" s="138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D50" s="6"/>
      <c r="E50" s="6"/>
      <c r="F50" s="138"/>
      <c r="G50" s="6"/>
      <c r="H50" s="138"/>
      <c r="I50" s="24" t="s">
        <v>70</v>
      </c>
      <c r="J50" s="24"/>
      <c r="K50" s="23"/>
      <c r="L50" s="23"/>
      <c r="M50" s="23"/>
    </row>
    <row r="51" spans="1:17" x14ac:dyDescent="0.3">
      <c r="B51" s="139"/>
      <c r="C51" s="6"/>
      <c r="D51" s="6"/>
      <c r="E51" s="6"/>
      <c r="F51" s="138"/>
      <c r="G51" s="6"/>
      <c r="H51" s="138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topLeftCell="A13" zoomScaleSheetLayoutView="100" workbookViewId="0">
      <selection activeCell="G39" sqref="G39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6" s="4" customFormat="1" x14ac:dyDescent="0.3">
      <c r="A1" s="1"/>
      <c r="B1" s="1" t="s">
        <v>0</v>
      </c>
      <c r="C1" s="2">
        <v>14.3</v>
      </c>
      <c r="D1" s="1" t="s">
        <v>240</v>
      </c>
      <c r="E1" s="1"/>
      <c r="F1" s="1"/>
      <c r="G1" s="1"/>
      <c r="H1" s="1"/>
      <c r="I1" s="1"/>
      <c r="J1" s="1"/>
      <c r="K1" s="1"/>
      <c r="L1" s="3"/>
    </row>
    <row r="2" spans="1:16" s="7" customFormat="1" x14ac:dyDescent="0.3">
      <c r="A2" s="5"/>
      <c r="B2" s="1" t="s">
        <v>75</v>
      </c>
      <c r="C2" s="2">
        <v>14.3</v>
      </c>
      <c r="D2" s="1" t="s">
        <v>241</v>
      </c>
      <c r="E2" s="5"/>
      <c r="F2" s="5"/>
      <c r="G2" s="5"/>
      <c r="H2" s="5"/>
      <c r="I2" s="5"/>
      <c r="J2" s="5"/>
      <c r="K2" s="5"/>
      <c r="L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6" s="6" customFormat="1" ht="15" customHeight="1" x14ac:dyDescent="0.3">
      <c r="A4" s="70"/>
      <c r="B4" s="71"/>
      <c r="C4" s="71"/>
      <c r="D4" s="71"/>
      <c r="E4" s="278" t="s">
        <v>134</v>
      </c>
      <c r="F4" s="279"/>
      <c r="G4" s="279"/>
      <c r="H4" s="279"/>
      <c r="I4" s="280"/>
      <c r="J4" s="72"/>
      <c r="K4" s="71"/>
    </row>
    <row r="5" spans="1:16" s="6" customFormat="1" ht="16.5" customHeight="1" x14ac:dyDescent="0.3">
      <c r="A5" s="281"/>
      <c r="B5" s="281"/>
      <c r="C5" s="281"/>
      <c r="D5" s="282"/>
      <c r="E5" s="74"/>
      <c r="F5" s="50" t="s">
        <v>1</v>
      </c>
      <c r="G5" s="75" t="s">
        <v>4</v>
      </c>
      <c r="H5" s="75" t="s">
        <v>4</v>
      </c>
      <c r="I5" s="75" t="s">
        <v>6</v>
      </c>
      <c r="J5" s="75"/>
      <c r="K5" s="73"/>
    </row>
    <row r="6" spans="1:16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6" s="6" customFormat="1" ht="14.25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6" s="6" customFormat="1" ht="13.5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6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6" s="6" customFormat="1" ht="15" customHeight="1" x14ac:dyDescent="0.3">
      <c r="A10" s="283" t="s">
        <v>15</v>
      </c>
      <c r="B10" s="283"/>
      <c r="C10" s="283"/>
      <c r="D10" s="284"/>
      <c r="E10" s="230">
        <f>SUM(F10:I10)</f>
        <v>4118</v>
      </c>
      <c r="F10" s="230">
        <f>SUM(F11:F36)</f>
        <v>1538</v>
      </c>
      <c r="G10" s="230">
        <f t="shared" ref="G10:I10" si="0">SUM(G11:G36)</f>
        <v>2574</v>
      </c>
      <c r="H10" s="230">
        <f t="shared" si="0"/>
        <v>6</v>
      </c>
      <c r="I10" s="230">
        <f t="shared" si="0"/>
        <v>0</v>
      </c>
      <c r="J10" s="227"/>
      <c r="K10" s="204" t="s">
        <v>11</v>
      </c>
    </row>
    <row r="11" spans="1:16" s="51" customFormat="1" ht="14.25" customHeight="1" x14ac:dyDescent="0.3">
      <c r="A11" s="50"/>
      <c r="B11" s="53" t="s">
        <v>89</v>
      </c>
      <c r="C11" s="50"/>
      <c r="D11" s="67"/>
      <c r="E11" s="231">
        <f t="shared" ref="E11:E36" si="1">SUM(F11:I11)</f>
        <v>19</v>
      </c>
      <c r="F11" s="232">
        <v>13</v>
      </c>
      <c r="G11" s="233">
        <v>6</v>
      </c>
      <c r="H11" s="234">
        <v>0</v>
      </c>
      <c r="I11" s="235">
        <v>0</v>
      </c>
      <c r="J11" s="52"/>
      <c r="K11" s="69" t="s">
        <v>97</v>
      </c>
      <c r="N11" s="6"/>
      <c r="O11" s="6"/>
      <c r="P11" s="6"/>
    </row>
    <row r="12" spans="1:16" s="51" customFormat="1" ht="14.25" customHeight="1" x14ac:dyDescent="0.3">
      <c r="A12" s="50"/>
      <c r="B12" s="53" t="s">
        <v>58</v>
      </c>
      <c r="C12" s="50"/>
      <c r="D12" s="67"/>
      <c r="E12" s="231">
        <f t="shared" si="1"/>
        <v>27</v>
      </c>
      <c r="F12" s="232">
        <v>14</v>
      </c>
      <c r="G12" s="233">
        <v>13</v>
      </c>
      <c r="H12" s="234">
        <v>0</v>
      </c>
      <c r="I12" s="235">
        <v>0</v>
      </c>
      <c r="J12" s="52"/>
      <c r="K12" s="69" t="s">
        <v>62</v>
      </c>
      <c r="N12" s="6"/>
      <c r="O12" s="6"/>
      <c r="P12" s="6"/>
    </row>
    <row r="13" spans="1:16" s="51" customFormat="1" ht="14.25" customHeight="1" x14ac:dyDescent="0.3">
      <c r="A13" s="50"/>
      <c r="B13" s="53" t="s">
        <v>59</v>
      </c>
      <c r="C13" s="50"/>
      <c r="D13" s="67"/>
      <c r="E13" s="231">
        <f t="shared" si="1"/>
        <v>331</v>
      </c>
      <c r="F13" s="232">
        <v>183</v>
      </c>
      <c r="G13" s="233">
        <v>147</v>
      </c>
      <c r="H13" s="234">
        <v>1</v>
      </c>
      <c r="I13" s="235">
        <v>0</v>
      </c>
      <c r="J13" s="52"/>
      <c r="K13" s="69" t="s">
        <v>63</v>
      </c>
      <c r="N13" s="6"/>
      <c r="O13" s="6"/>
      <c r="P13" s="6"/>
    </row>
    <row r="14" spans="1:16" s="51" customFormat="1" ht="14.25" customHeight="1" x14ac:dyDescent="0.3">
      <c r="A14" s="50"/>
      <c r="B14" s="53" t="s">
        <v>90</v>
      </c>
      <c r="C14" s="50"/>
      <c r="D14" s="67"/>
      <c r="E14" s="231">
        <f t="shared" si="1"/>
        <v>29</v>
      </c>
      <c r="F14" s="232">
        <v>23</v>
      </c>
      <c r="G14" s="233">
        <v>6</v>
      </c>
      <c r="H14" s="234">
        <v>0</v>
      </c>
      <c r="I14" s="235">
        <v>0</v>
      </c>
      <c r="J14" s="52"/>
      <c r="K14" s="69" t="s">
        <v>132</v>
      </c>
      <c r="N14" s="6"/>
      <c r="O14" s="6"/>
      <c r="P14" s="6"/>
    </row>
    <row r="15" spans="1:16" s="51" customFormat="1" ht="14.25" customHeight="1" x14ac:dyDescent="0.3">
      <c r="A15" s="50"/>
      <c r="B15" s="53" t="s">
        <v>98</v>
      </c>
      <c r="C15" s="50"/>
      <c r="D15" s="67"/>
      <c r="E15" s="231">
        <f t="shared" si="1"/>
        <v>3</v>
      </c>
      <c r="F15" s="232">
        <v>1</v>
      </c>
      <c r="G15" s="233">
        <v>2</v>
      </c>
      <c r="H15" s="234">
        <v>0</v>
      </c>
      <c r="I15" s="235">
        <v>0</v>
      </c>
      <c r="J15" s="52"/>
      <c r="K15" s="53" t="s">
        <v>110</v>
      </c>
      <c r="N15" s="6"/>
      <c r="O15" s="6"/>
      <c r="P15" s="6"/>
    </row>
    <row r="16" spans="1:16" s="51" customFormat="1" ht="14.25" customHeight="1" x14ac:dyDescent="0.3">
      <c r="A16" s="50"/>
      <c r="B16" s="53" t="s">
        <v>91</v>
      </c>
      <c r="C16" s="50"/>
      <c r="D16" s="67"/>
      <c r="E16" s="231"/>
      <c r="F16" s="232"/>
      <c r="G16" s="233"/>
      <c r="H16" s="234"/>
      <c r="I16" s="235"/>
      <c r="J16" s="52"/>
      <c r="K16" s="69" t="s">
        <v>111</v>
      </c>
      <c r="N16" s="6"/>
      <c r="O16" s="6"/>
      <c r="P16" s="6"/>
    </row>
    <row r="17" spans="1:16" s="51" customFormat="1" ht="14.25" customHeight="1" x14ac:dyDescent="0.3">
      <c r="A17" s="50"/>
      <c r="B17" s="53" t="s">
        <v>60</v>
      </c>
      <c r="C17" s="50"/>
      <c r="D17" s="67"/>
      <c r="E17" s="231">
        <f t="shared" si="1"/>
        <v>1222</v>
      </c>
      <c r="F17" s="232">
        <v>171</v>
      </c>
      <c r="G17" s="233">
        <v>1050</v>
      </c>
      <c r="H17" s="234">
        <v>1</v>
      </c>
      <c r="I17" s="235">
        <v>0</v>
      </c>
      <c r="J17" s="52"/>
      <c r="K17" s="69" t="s">
        <v>64</v>
      </c>
      <c r="N17" s="6"/>
      <c r="O17" s="6"/>
      <c r="P17" s="6"/>
    </row>
    <row r="18" spans="1:16" s="51" customFormat="1" ht="14.25" customHeight="1" x14ac:dyDescent="0.3">
      <c r="A18" s="53"/>
      <c r="B18" s="53" t="s">
        <v>99</v>
      </c>
      <c r="C18" s="53"/>
      <c r="D18" s="68"/>
      <c r="E18" s="231">
        <f t="shared" si="1"/>
        <v>1459</v>
      </c>
      <c r="F18" s="232">
        <v>585</v>
      </c>
      <c r="G18" s="233">
        <v>872</v>
      </c>
      <c r="H18" s="234">
        <v>2</v>
      </c>
      <c r="I18" s="235">
        <v>0</v>
      </c>
      <c r="J18" s="52"/>
      <c r="K18" s="69" t="s">
        <v>112</v>
      </c>
      <c r="N18" s="6"/>
      <c r="O18" s="6"/>
      <c r="P18" s="6"/>
    </row>
    <row r="19" spans="1:16" s="51" customFormat="1" ht="14.25" customHeight="1" x14ac:dyDescent="0.3">
      <c r="A19" s="53"/>
      <c r="B19" s="53" t="s">
        <v>92</v>
      </c>
      <c r="C19" s="53"/>
      <c r="D19" s="68"/>
      <c r="E19" s="231"/>
      <c r="F19" s="232"/>
      <c r="G19" s="233"/>
      <c r="H19" s="234"/>
      <c r="I19" s="235"/>
      <c r="J19" s="52"/>
      <c r="K19" s="69" t="s">
        <v>113</v>
      </c>
      <c r="N19" s="6"/>
      <c r="O19" s="6"/>
      <c r="P19" s="6"/>
    </row>
    <row r="20" spans="1:16" s="51" customFormat="1" ht="14.25" customHeight="1" x14ac:dyDescent="0.3">
      <c r="A20" s="53"/>
      <c r="B20" s="53" t="s">
        <v>100</v>
      </c>
      <c r="C20" s="53"/>
      <c r="D20" s="68"/>
      <c r="E20" s="231">
        <f t="shared" si="1"/>
        <v>127</v>
      </c>
      <c r="F20" s="232">
        <v>58</v>
      </c>
      <c r="G20" s="233">
        <v>68</v>
      </c>
      <c r="H20" s="234">
        <v>1</v>
      </c>
      <c r="I20" s="235">
        <v>0</v>
      </c>
      <c r="J20" s="52"/>
      <c r="K20" s="69" t="s">
        <v>114</v>
      </c>
      <c r="N20" s="6"/>
      <c r="O20" s="6"/>
      <c r="P20" s="6"/>
    </row>
    <row r="21" spans="1:16" s="51" customFormat="1" ht="14.25" customHeight="1" x14ac:dyDescent="0.3">
      <c r="A21" s="53"/>
      <c r="B21" s="53" t="s">
        <v>101</v>
      </c>
      <c r="C21" s="53"/>
      <c r="D21" s="68"/>
      <c r="E21" s="231">
        <f t="shared" si="1"/>
        <v>87</v>
      </c>
      <c r="F21" s="232">
        <v>57</v>
      </c>
      <c r="G21" s="233">
        <v>30</v>
      </c>
      <c r="H21" s="234">
        <v>0</v>
      </c>
      <c r="I21" s="235">
        <v>0</v>
      </c>
      <c r="J21" s="52"/>
      <c r="K21" s="69" t="s">
        <v>115</v>
      </c>
      <c r="N21" s="6"/>
      <c r="O21" s="6"/>
      <c r="P21" s="6"/>
    </row>
    <row r="22" spans="1:16" s="51" customFormat="1" ht="14.25" customHeight="1" x14ac:dyDescent="0.3">
      <c r="A22" s="53"/>
      <c r="B22" s="53" t="s">
        <v>102</v>
      </c>
      <c r="C22" s="53"/>
      <c r="D22" s="68"/>
      <c r="E22" s="231">
        <f t="shared" si="1"/>
        <v>146</v>
      </c>
      <c r="F22" s="232">
        <v>45</v>
      </c>
      <c r="G22" s="233">
        <v>101</v>
      </c>
      <c r="H22" s="234">
        <v>0</v>
      </c>
      <c r="I22" s="235">
        <v>0</v>
      </c>
      <c r="J22" s="52"/>
      <c r="K22" s="69" t="s">
        <v>116</v>
      </c>
      <c r="N22" s="6"/>
      <c r="O22" s="6"/>
      <c r="P22" s="6"/>
    </row>
    <row r="23" spans="1:16" s="51" customFormat="1" ht="14.25" customHeight="1" x14ac:dyDescent="0.3">
      <c r="A23" s="53"/>
      <c r="B23" s="53" t="s">
        <v>103</v>
      </c>
      <c r="C23" s="53"/>
      <c r="D23" s="68"/>
      <c r="E23" s="231">
        <f t="shared" si="1"/>
        <v>59</v>
      </c>
      <c r="F23" s="232">
        <v>40</v>
      </c>
      <c r="G23" s="233">
        <v>19</v>
      </c>
      <c r="H23" s="234">
        <v>0</v>
      </c>
      <c r="I23" s="235">
        <v>0</v>
      </c>
      <c r="J23" s="52"/>
      <c r="K23" s="69" t="s">
        <v>117</v>
      </c>
      <c r="N23" s="6"/>
      <c r="O23" s="6"/>
      <c r="P23" s="6"/>
    </row>
    <row r="24" spans="1:16" s="51" customFormat="1" ht="14.25" customHeight="1" x14ac:dyDescent="0.3">
      <c r="A24" s="53"/>
      <c r="B24" s="53" t="s">
        <v>93</v>
      </c>
      <c r="C24" s="53"/>
      <c r="D24" s="68"/>
      <c r="E24" s="231">
        <f t="shared" si="1"/>
        <v>147</v>
      </c>
      <c r="F24" s="232">
        <v>122</v>
      </c>
      <c r="G24" s="233">
        <v>25</v>
      </c>
      <c r="H24" s="234">
        <v>0</v>
      </c>
      <c r="I24" s="235">
        <v>0</v>
      </c>
      <c r="J24" s="52"/>
      <c r="K24" s="69" t="s">
        <v>118</v>
      </c>
      <c r="N24" s="6"/>
      <c r="O24" s="6"/>
      <c r="P24" s="6"/>
    </row>
    <row r="25" spans="1:16" s="51" customFormat="1" ht="14.25" customHeight="1" x14ac:dyDescent="0.3">
      <c r="A25" s="53"/>
      <c r="B25" s="53" t="s">
        <v>131</v>
      </c>
      <c r="C25" s="53"/>
      <c r="D25" s="68"/>
      <c r="E25" s="231">
        <f t="shared" si="1"/>
        <v>181</v>
      </c>
      <c r="F25" s="232">
        <v>85</v>
      </c>
      <c r="G25" s="233">
        <v>96</v>
      </c>
      <c r="H25" s="234">
        <v>0</v>
      </c>
      <c r="I25" s="235">
        <v>0</v>
      </c>
      <c r="J25" s="52"/>
      <c r="K25" s="69" t="s">
        <v>119</v>
      </c>
      <c r="N25" s="6"/>
      <c r="O25" s="6"/>
      <c r="P25" s="6"/>
    </row>
    <row r="26" spans="1:16" s="51" customFormat="1" ht="14.25" customHeight="1" x14ac:dyDescent="0.3">
      <c r="A26" s="53"/>
      <c r="B26" s="53" t="s">
        <v>104</v>
      </c>
      <c r="C26" s="53"/>
      <c r="D26" s="68"/>
      <c r="E26" s="231">
        <f t="shared" si="1"/>
        <v>156</v>
      </c>
      <c r="F26" s="232">
        <v>69</v>
      </c>
      <c r="G26" s="233">
        <v>86</v>
      </c>
      <c r="H26" s="234">
        <v>1</v>
      </c>
      <c r="I26" s="235">
        <v>0</v>
      </c>
      <c r="J26" s="52"/>
      <c r="K26" s="69" t="s">
        <v>120</v>
      </c>
      <c r="N26" s="6"/>
      <c r="O26" s="6"/>
      <c r="P26" s="6"/>
    </row>
    <row r="27" spans="1:16" s="51" customFormat="1" ht="14.25" customHeight="1" x14ac:dyDescent="0.3">
      <c r="A27" s="53"/>
      <c r="B27" s="53" t="s">
        <v>105</v>
      </c>
      <c r="C27" s="53"/>
      <c r="D27" s="68"/>
      <c r="E27" s="231">
        <f t="shared" si="1"/>
        <v>0</v>
      </c>
      <c r="F27" s="234">
        <v>0</v>
      </c>
      <c r="G27" s="234">
        <v>0</v>
      </c>
      <c r="H27" s="234">
        <v>0</v>
      </c>
      <c r="I27" s="235">
        <v>0</v>
      </c>
      <c r="J27" s="52"/>
      <c r="K27" s="69" t="s">
        <v>121</v>
      </c>
      <c r="N27" s="6"/>
      <c r="O27" s="6"/>
      <c r="P27" s="6"/>
    </row>
    <row r="28" spans="1:16" s="51" customFormat="1" ht="14.25" customHeight="1" x14ac:dyDescent="0.3">
      <c r="A28" s="53"/>
      <c r="B28" s="53" t="s">
        <v>94</v>
      </c>
      <c r="C28" s="53"/>
      <c r="D28" s="68"/>
      <c r="E28" s="231"/>
      <c r="F28" s="232"/>
      <c r="G28" s="233"/>
      <c r="H28" s="234"/>
      <c r="I28" s="235"/>
      <c r="J28" s="52"/>
      <c r="K28" s="69" t="s">
        <v>133</v>
      </c>
      <c r="N28" s="6"/>
      <c r="O28" s="6"/>
      <c r="P28" s="6"/>
    </row>
    <row r="29" spans="1:16" s="51" customFormat="1" ht="14.25" customHeight="1" x14ac:dyDescent="0.3">
      <c r="A29" s="53"/>
      <c r="B29" s="53" t="s">
        <v>61</v>
      </c>
      <c r="C29" s="53"/>
      <c r="D29" s="68"/>
      <c r="E29" s="231">
        <f t="shared" si="1"/>
        <v>21</v>
      </c>
      <c r="F29" s="232">
        <v>14</v>
      </c>
      <c r="G29" s="233">
        <v>7</v>
      </c>
      <c r="H29" s="234">
        <v>0</v>
      </c>
      <c r="I29" s="235">
        <v>0</v>
      </c>
      <c r="J29" s="52"/>
      <c r="K29" s="69" t="s">
        <v>65</v>
      </c>
      <c r="N29" s="6"/>
      <c r="O29" s="6"/>
      <c r="P29" s="6"/>
    </row>
    <row r="30" spans="1:16" s="51" customFormat="1" ht="14.25" customHeight="1" x14ac:dyDescent="0.3">
      <c r="A30" s="53"/>
      <c r="B30" s="53" t="s">
        <v>106</v>
      </c>
      <c r="C30" s="53"/>
      <c r="D30" s="68"/>
      <c r="E30" s="231">
        <f t="shared" si="1"/>
        <v>45</v>
      </c>
      <c r="F30" s="232">
        <v>28</v>
      </c>
      <c r="G30" s="233">
        <v>17</v>
      </c>
      <c r="H30" s="234">
        <v>0</v>
      </c>
      <c r="I30" s="235">
        <v>0</v>
      </c>
      <c r="J30" s="52"/>
      <c r="K30" s="69" t="s">
        <v>122</v>
      </c>
      <c r="N30" s="6"/>
      <c r="O30" s="6"/>
      <c r="P30" s="6"/>
    </row>
    <row r="31" spans="1:16" s="51" customFormat="1" ht="14.25" customHeight="1" x14ac:dyDescent="0.3">
      <c r="A31" s="53"/>
      <c r="B31" s="53" t="s">
        <v>107</v>
      </c>
      <c r="C31" s="53"/>
      <c r="D31" s="68"/>
      <c r="E31" s="231">
        <f t="shared" si="1"/>
        <v>27</v>
      </c>
      <c r="F31" s="232">
        <v>11</v>
      </c>
      <c r="G31" s="233">
        <v>16</v>
      </c>
      <c r="H31" s="234">
        <v>0</v>
      </c>
      <c r="I31" s="235">
        <v>0</v>
      </c>
      <c r="J31" s="52"/>
      <c r="K31" s="69" t="s">
        <v>123</v>
      </c>
      <c r="N31" s="6"/>
      <c r="O31" s="6"/>
      <c r="P31" s="6"/>
    </row>
    <row r="32" spans="1:16" s="51" customFormat="1" ht="14.25" customHeight="1" x14ac:dyDescent="0.3">
      <c r="A32" s="53"/>
      <c r="B32" s="53" t="s">
        <v>95</v>
      </c>
      <c r="C32" s="53"/>
      <c r="D32" s="68"/>
      <c r="E32" s="231">
        <f t="shared" si="1"/>
        <v>32</v>
      </c>
      <c r="F32" s="232">
        <v>19</v>
      </c>
      <c r="G32" s="233">
        <v>13</v>
      </c>
      <c r="H32" s="234">
        <v>0</v>
      </c>
      <c r="I32" s="235">
        <v>0</v>
      </c>
      <c r="J32" s="52"/>
      <c r="K32" s="69" t="s">
        <v>124</v>
      </c>
      <c r="N32" s="6"/>
      <c r="O32" s="6"/>
      <c r="P32" s="6"/>
    </row>
    <row r="33" spans="1:16" s="51" customFormat="1" ht="12.75" customHeight="1" x14ac:dyDescent="0.3">
      <c r="A33" s="53"/>
      <c r="C33" s="53"/>
      <c r="D33" s="68"/>
      <c r="E33" s="231"/>
      <c r="F33" s="232"/>
      <c r="G33" s="233"/>
      <c r="H33" s="234"/>
      <c r="I33" s="235"/>
      <c r="J33" s="52"/>
      <c r="K33" s="69" t="s">
        <v>126</v>
      </c>
      <c r="N33" s="6"/>
      <c r="O33" s="6"/>
      <c r="P33" s="6"/>
    </row>
    <row r="34" spans="1:16" s="51" customFormat="1" ht="14.25" customHeight="1" x14ac:dyDescent="0.3">
      <c r="A34" s="53"/>
      <c r="B34" s="53" t="s">
        <v>96</v>
      </c>
      <c r="C34" s="53"/>
      <c r="D34" s="68"/>
      <c r="E34" s="231">
        <f t="shared" si="1"/>
        <v>0</v>
      </c>
      <c r="F34" s="234">
        <v>0</v>
      </c>
      <c r="G34" s="234">
        <v>0</v>
      </c>
      <c r="H34" s="234">
        <v>0</v>
      </c>
      <c r="I34" s="235">
        <v>0</v>
      </c>
      <c r="J34" s="52"/>
      <c r="K34" s="69" t="s">
        <v>127</v>
      </c>
      <c r="N34" s="6"/>
      <c r="O34" s="6"/>
      <c r="P34" s="6"/>
    </row>
    <row r="35" spans="1:16" s="51" customFormat="1" ht="12.75" customHeight="1" x14ac:dyDescent="0.3">
      <c r="A35" s="53"/>
      <c r="B35" s="53" t="s">
        <v>108</v>
      </c>
      <c r="C35" s="53"/>
      <c r="D35" s="68"/>
      <c r="E35" s="231"/>
      <c r="F35" s="234"/>
      <c r="G35" s="234"/>
      <c r="H35" s="234"/>
      <c r="I35" s="235"/>
      <c r="J35" s="52"/>
      <c r="K35" s="69" t="s">
        <v>128</v>
      </c>
      <c r="N35" s="6"/>
      <c r="O35" s="6"/>
      <c r="P35" s="6"/>
    </row>
    <row r="36" spans="1:16" s="51" customFormat="1" ht="14.25" customHeight="1" x14ac:dyDescent="0.3">
      <c r="A36" s="53"/>
      <c r="B36" s="53" t="s">
        <v>109</v>
      </c>
      <c r="C36" s="53"/>
      <c r="D36" s="68"/>
      <c r="E36" s="231">
        <f t="shared" si="1"/>
        <v>0</v>
      </c>
      <c r="F36" s="234">
        <v>0</v>
      </c>
      <c r="G36" s="234">
        <v>0</v>
      </c>
      <c r="H36" s="234">
        <v>0</v>
      </c>
      <c r="I36" s="235">
        <v>0</v>
      </c>
      <c r="J36" s="52"/>
      <c r="K36" s="69" t="s">
        <v>125</v>
      </c>
      <c r="N36" s="6"/>
      <c r="O36" s="6"/>
      <c r="P36" s="6"/>
    </row>
    <row r="37" spans="1:16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</row>
    <row r="38" spans="1:16" ht="3" customHeight="1" x14ac:dyDescent="0.3">
      <c r="K38" s="3"/>
    </row>
    <row r="39" spans="1:16" s="6" customFormat="1" ht="1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I39" s="23"/>
      <c r="J39" s="23"/>
      <c r="K39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0"/>
  <sheetViews>
    <sheetView showGridLines="0" view="pageBreakPreview" topLeftCell="A31" zoomScaleSheetLayoutView="100" workbookViewId="0">
      <selection activeCell="B50" sqref="B50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14.4</v>
      </c>
      <c r="D1" s="1" t="s">
        <v>242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75</v>
      </c>
      <c r="C2" s="2">
        <v>14.4</v>
      </c>
      <c r="D2" s="1" t="s">
        <v>243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85"/>
      <c r="O4" s="25"/>
    </row>
    <row r="5" spans="1:16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16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16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16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5"/>
    </row>
    <row r="10" spans="1:16" s="6" customFormat="1" ht="18.95" customHeight="1" x14ac:dyDescent="0.3">
      <c r="A10" s="276" t="s">
        <v>15</v>
      </c>
      <c r="B10" s="276"/>
      <c r="C10" s="276"/>
      <c r="D10" s="277"/>
      <c r="E10" s="244">
        <f>SUM(E11:E28,E39:E45)</f>
        <v>685</v>
      </c>
      <c r="F10" s="245">
        <f t="shared" ref="F10:J10" si="0">SUM(F11:F28,F39:F45)</f>
        <v>3257.8849199999995</v>
      </c>
      <c r="G10" s="244">
        <f>SUM(G11:G28,G39:G45)</f>
        <v>288</v>
      </c>
      <c r="H10" s="245">
        <f>SUM(H11:H28,H39:H45)</f>
        <v>2559.5544000000004</v>
      </c>
      <c r="I10" s="244">
        <f t="shared" si="0"/>
        <v>397</v>
      </c>
      <c r="J10" s="245">
        <f t="shared" si="0"/>
        <v>1248.18552</v>
      </c>
      <c r="K10" s="244">
        <f t="shared" ref="K10" si="1">SUM(K11:K28,K39:K45)</f>
        <v>0</v>
      </c>
      <c r="L10" s="244">
        <f t="shared" ref="L10" si="2">SUM(L11:L28,L39:L45)</f>
        <v>0</v>
      </c>
      <c r="M10" s="244">
        <f t="shared" ref="M10" si="3">SUM(M11:M28,M39:M45)</f>
        <v>0</v>
      </c>
      <c r="N10" s="244">
        <f t="shared" ref="N10" si="4">SUM(N11:N28,N39:N45)</f>
        <v>0</v>
      </c>
      <c r="O10" s="27" t="s">
        <v>11</v>
      </c>
    </row>
    <row r="11" spans="1:16" ht="18.95" customHeight="1" x14ac:dyDescent="0.3">
      <c r="A11" s="4"/>
      <c r="B11" s="139" t="s">
        <v>215</v>
      </c>
      <c r="C11" s="19"/>
      <c r="D11" s="20"/>
      <c r="E11" s="229">
        <v>330</v>
      </c>
      <c r="F11" s="236">
        <f>(2524439920/1000000)</f>
        <v>2524.4399199999998</v>
      </c>
      <c r="G11" s="237">
        <v>181</v>
      </c>
      <c r="H11" s="238">
        <f>(2238304400/1000000)</f>
        <v>2238.3044</v>
      </c>
      <c r="I11" s="229">
        <v>149</v>
      </c>
      <c r="J11" s="239">
        <f>(286135520/1000000)</f>
        <v>286.13551999999999</v>
      </c>
      <c r="K11" s="240">
        <v>0</v>
      </c>
      <c r="L11" s="240">
        <v>0</v>
      </c>
      <c r="M11" s="240">
        <v>0</v>
      </c>
      <c r="N11" s="240">
        <v>0</v>
      </c>
      <c r="O11" s="166" t="s">
        <v>306</v>
      </c>
    </row>
    <row r="12" spans="1:16" ht="18.95" customHeight="1" x14ac:dyDescent="0.3">
      <c r="A12" s="4"/>
      <c r="B12" s="139" t="s">
        <v>216</v>
      </c>
      <c r="C12" s="19"/>
      <c r="D12" s="20"/>
      <c r="E12" s="211">
        <v>11</v>
      </c>
      <c r="F12" s="241">
        <f>(23200000/10000000)</f>
        <v>2.3199999999999998</v>
      </c>
      <c r="G12" s="217">
        <v>2</v>
      </c>
      <c r="H12" s="242">
        <f>(10000000/1000000)</f>
        <v>10</v>
      </c>
      <c r="I12" s="211">
        <v>9</v>
      </c>
      <c r="J12" s="243">
        <f>(13200000/1000000)</f>
        <v>13.2</v>
      </c>
      <c r="K12" s="240">
        <v>0</v>
      </c>
      <c r="L12" s="240">
        <v>0</v>
      </c>
      <c r="M12" s="240">
        <v>0</v>
      </c>
      <c r="N12" s="240">
        <v>0</v>
      </c>
      <c r="O12" s="166" t="s">
        <v>307</v>
      </c>
    </row>
    <row r="13" spans="1:16" ht="18.95" customHeight="1" x14ac:dyDescent="0.3">
      <c r="A13" s="4"/>
      <c r="B13" s="139" t="s">
        <v>217</v>
      </c>
      <c r="C13" s="19"/>
      <c r="D13" s="20"/>
      <c r="E13" s="211">
        <v>6</v>
      </c>
      <c r="F13" s="241">
        <f>(7000000/1000000)</f>
        <v>7</v>
      </c>
      <c r="G13" s="217">
        <v>1</v>
      </c>
      <c r="H13" s="242">
        <f>(1000000/1000000)</f>
        <v>1</v>
      </c>
      <c r="I13" s="211">
        <v>5</v>
      </c>
      <c r="J13" s="243">
        <f>(6000000/1000000)</f>
        <v>6</v>
      </c>
      <c r="K13" s="240">
        <v>0</v>
      </c>
      <c r="L13" s="240">
        <v>0</v>
      </c>
      <c r="M13" s="240">
        <v>0</v>
      </c>
      <c r="N13" s="240">
        <v>0</v>
      </c>
      <c r="O13" s="166" t="s">
        <v>308</v>
      </c>
    </row>
    <row r="14" spans="1:16" ht="18.95" customHeight="1" x14ac:dyDescent="0.3">
      <c r="A14" s="4"/>
      <c r="B14" s="139" t="s">
        <v>218</v>
      </c>
      <c r="C14" s="3"/>
      <c r="D14" s="20"/>
      <c r="E14" s="211">
        <v>21</v>
      </c>
      <c r="F14" s="241">
        <f>(24600000/1000000)</f>
        <v>24.6</v>
      </c>
      <c r="G14" s="217">
        <v>7</v>
      </c>
      <c r="H14" s="242">
        <f>(9500000/1000000)</f>
        <v>9.5</v>
      </c>
      <c r="I14" s="211">
        <v>14</v>
      </c>
      <c r="J14" s="243">
        <f>(15100000/1000000)</f>
        <v>15.1</v>
      </c>
      <c r="K14" s="240">
        <v>0</v>
      </c>
      <c r="L14" s="240">
        <v>0</v>
      </c>
      <c r="M14" s="240">
        <v>0</v>
      </c>
      <c r="N14" s="240">
        <v>0</v>
      </c>
      <c r="O14" s="167" t="s">
        <v>309</v>
      </c>
    </row>
    <row r="15" spans="1:16" ht="18.95" customHeight="1" x14ac:dyDescent="0.3">
      <c r="A15" s="4"/>
      <c r="B15" s="139" t="s">
        <v>219</v>
      </c>
      <c r="C15" s="3"/>
      <c r="D15" s="20"/>
      <c r="E15" s="211">
        <v>25</v>
      </c>
      <c r="F15" s="241">
        <f>(64700000/1000000)</f>
        <v>64.7</v>
      </c>
      <c r="G15" s="217">
        <v>6</v>
      </c>
      <c r="H15" s="242">
        <f>(16000000/1000000)</f>
        <v>16</v>
      </c>
      <c r="I15" s="211">
        <v>19</v>
      </c>
      <c r="J15" s="243">
        <f>(48700000/100000)</f>
        <v>487</v>
      </c>
      <c r="K15" s="240">
        <v>0</v>
      </c>
      <c r="L15" s="240">
        <v>0</v>
      </c>
      <c r="M15" s="240">
        <v>0</v>
      </c>
      <c r="N15" s="240">
        <v>0</v>
      </c>
      <c r="O15" s="167" t="s">
        <v>310</v>
      </c>
    </row>
    <row r="16" spans="1:16" ht="18.95" customHeight="1" x14ac:dyDescent="0.3">
      <c r="A16" s="4"/>
      <c r="B16" s="139" t="s">
        <v>220</v>
      </c>
      <c r="C16" s="3"/>
      <c r="D16" s="20"/>
      <c r="E16" s="211">
        <v>37</v>
      </c>
      <c r="F16" s="241">
        <f>(104300000/1000000)</f>
        <v>104.3</v>
      </c>
      <c r="G16" s="217">
        <v>15</v>
      </c>
      <c r="H16" s="242">
        <f>(57000000/1000000)</f>
        <v>57</v>
      </c>
      <c r="I16" s="211">
        <v>22</v>
      </c>
      <c r="J16" s="243">
        <f>(47300000/1000000)</f>
        <v>47.3</v>
      </c>
      <c r="K16" s="240">
        <v>0</v>
      </c>
      <c r="L16" s="240">
        <v>0</v>
      </c>
      <c r="M16" s="240">
        <v>0</v>
      </c>
      <c r="N16" s="240">
        <v>0</v>
      </c>
      <c r="O16" s="167" t="s">
        <v>311</v>
      </c>
    </row>
    <row r="17" spans="1:17" ht="18.95" customHeight="1" x14ac:dyDescent="0.3">
      <c r="A17" s="4"/>
      <c r="B17" s="139" t="s">
        <v>221</v>
      </c>
      <c r="C17" s="3"/>
      <c r="D17" s="20"/>
      <c r="E17" s="211">
        <v>5</v>
      </c>
      <c r="F17" s="241">
        <f>(13000000/1000000)</f>
        <v>13</v>
      </c>
      <c r="G17" s="217">
        <v>1</v>
      </c>
      <c r="H17" s="242">
        <f>(1000000/100000)</f>
        <v>10</v>
      </c>
      <c r="I17" s="211">
        <v>4</v>
      </c>
      <c r="J17" s="243">
        <f>(12000000/1000000)</f>
        <v>12</v>
      </c>
      <c r="K17" s="240">
        <v>0</v>
      </c>
      <c r="L17" s="240">
        <v>0</v>
      </c>
      <c r="M17" s="240">
        <v>0</v>
      </c>
      <c r="N17" s="240">
        <v>0</v>
      </c>
      <c r="O17" s="166" t="s">
        <v>312</v>
      </c>
    </row>
    <row r="18" spans="1:17" ht="18.95" customHeight="1" x14ac:dyDescent="0.3">
      <c r="A18" s="4"/>
      <c r="B18" s="139" t="s">
        <v>222</v>
      </c>
      <c r="C18" s="3"/>
      <c r="D18" s="20"/>
      <c r="E18" s="211">
        <v>15</v>
      </c>
      <c r="F18" s="241">
        <f>(20500000/1000000)</f>
        <v>20.5</v>
      </c>
      <c r="G18" s="217">
        <v>5</v>
      </c>
      <c r="H18" s="242">
        <f>(4500000/1000000)</f>
        <v>4.5</v>
      </c>
      <c r="I18" s="211">
        <v>10</v>
      </c>
      <c r="J18" s="243">
        <f>(16000000/1000000)</f>
        <v>16</v>
      </c>
      <c r="K18" s="240">
        <v>0</v>
      </c>
      <c r="L18" s="240">
        <v>0</v>
      </c>
      <c r="M18" s="240">
        <v>0</v>
      </c>
      <c r="N18" s="240">
        <v>0</v>
      </c>
      <c r="O18" s="167" t="s">
        <v>313</v>
      </c>
    </row>
    <row r="19" spans="1:17" ht="18.95" customHeight="1" x14ac:dyDescent="0.3">
      <c r="A19" s="4"/>
      <c r="B19" s="139" t="s">
        <v>223</v>
      </c>
      <c r="C19" s="3"/>
      <c r="D19" s="20"/>
      <c r="E19" s="211">
        <v>10</v>
      </c>
      <c r="F19" s="241">
        <f>(13000000/1000000)</f>
        <v>13</v>
      </c>
      <c r="G19" s="217">
        <v>1</v>
      </c>
      <c r="H19" s="242">
        <f>(1000000/1000000)</f>
        <v>1</v>
      </c>
      <c r="I19" s="211">
        <v>9</v>
      </c>
      <c r="J19" s="243">
        <f>(12000000/1000000)</f>
        <v>12</v>
      </c>
      <c r="K19" s="240">
        <v>0</v>
      </c>
      <c r="L19" s="240">
        <v>0</v>
      </c>
      <c r="M19" s="240">
        <v>0</v>
      </c>
      <c r="N19" s="240">
        <v>0</v>
      </c>
      <c r="O19" s="166" t="s">
        <v>314</v>
      </c>
    </row>
    <row r="20" spans="1:17" ht="18.95" customHeight="1" x14ac:dyDescent="0.3">
      <c r="A20" s="4"/>
      <c r="B20" s="139" t="s">
        <v>224</v>
      </c>
      <c r="C20" s="3"/>
      <c r="D20" s="20"/>
      <c r="E20" s="211">
        <v>12</v>
      </c>
      <c r="F20" s="241">
        <f>(13700000/1000000)</f>
        <v>13.7</v>
      </c>
      <c r="G20" s="217">
        <v>4</v>
      </c>
      <c r="H20" s="242">
        <f>(4000000/1000000)</f>
        <v>4</v>
      </c>
      <c r="I20" s="211">
        <v>8</v>
      </c>
      <c r="J20" s="243">
        <f>(9700000/100000)</f>
        <v>97</v>
      </c>
      <c r="K20" s="240">
        <v>0</v>
      </c>
      <c r="L20" s="240">
        <v>0</v>
      </c>
      <c r="M20" s="240">
        <v>0</v>
      </c>
      <c r="N20" s="240">
        <v>0</v>
      </c>
      <c r="O20" s="167" t="s">
        <v>315</v>
      </c>
    </row>
    <row r="21" spans="1:17" ht="18.95" customHeight="1" x14ac:dyDescent="0.3">
      <c r="A21" s="4"/>
      <c r="B21" s="139" t="s">
        <v>225</v>
      </c>
      <c r="C21" s="3"/>
      <c r="D21" s="20"/>
      <c r="E21" s="211">
        <v>2</v>
      </c>
      <c r="F21" s="241">
        <f>(5000000/1000000)</f>
        <v>5</v>
      </c>
      <c r="G21" s="217">
        <v>0</v>
      </c>
      <c r="H21" s="242">
        <v>0</v>
      </c>
      <c r="I21" s="211">
        <v>2</v>
      </c>
      <c r="J21" s="243">
        <f>(5000000/1000000)</f>
        <v>5</v>
      </c>
      <c r="K21" s="240">
        <v>0</v>
      </c>
      <c r="L21" s="240">
        <v>0</v>
      </c>
      <c r="M21" s="240">
        <v>0</v>
      </c>
      <c r="N21" s="240">
        <v>0</v>
      </c>
      <c r="O21" s="167" t="s">
        <v>316</v>
      </c>
    </row>
    <row r="22" spans="1:17" ht="18.95" customHeight="1" x14ac:dyDescent="0.3">
      <c r="A22" s="4"/>
      <c r="B22" s="139" t="s">
        <v>226</v>
      </c>
      <c r="C22" s="3"/>
      <c r="D22" s="20"/>
      <c r="E22" s="211">
        <v>11</v>
      </c>
      <c r="F22" s="241">
        <f>(13150000/1000000)</f>
        <v>13.15</v>
      </c>
      <c r="G22" s="217">
        <v>4</v>
      </c>
      <c r="H22" s="242">
        <f>(5000000/1000000)</f>
        <v>5</v>
      </c>
      <c r="I22" s="211">
        <v>7</v>
      </c>
      <c r="J22" s="243">
        <f>(8150000/1000000)</f>
        <v>8.15</v>
      </c>
      <c r="K22" s="240">
        <v>0</v>
      </c>
      <c r="L22" s="240">
        <v>0</v>
      </c>
      <c r="M22" s="240">
        <v>0</v>
      </c>
      <c r="N22" s="240">
        <v>0</v>
      </c>
      <c r="O22" s="166" t="s">
        <v>317</v>
      </c>
    </row>
    <row r="23" spans="1:17" ht="18.95" customHeight="1" x14ac:dyDescent="0.3">
      <c r="A23" s="4"/>
      <c r="B23" s="139" t="s">
        <v>227</v>
      </c>
      <c r="C23" s="3"/>
      <c r="D23" s="20"/>
      <c r="E23" s="211">
        <v>106</v>
      </c>
      <c r="F23" s="241">
        <f>(286200000/1000000)</f>
        <v>286.2</v>
      </c>
      <c r="G23" s="217">
        <v>43</v>
      </c>
      <c r="H23" s="242">
        <f>(181900000/1000000)</f>
        <v>181.9</v>
      </c>
      <c r="I23" s="211">
        <v>63</v>
      </c>
      <c r="J23" s="243">
        <f>(104300000/1000000)</f>
        <v>104.3</v>
      </c>
      <c r="K23" s="240">
        <v>0</v>
      </c>
      <c r="L23" s="240">
        <v>0</v>
      </c>
      <c r="M23" s="240">
        <v>0</v>
      </c>
      <c r="N23" s="240">
        <v>0</v>
      </c>
      <c r="O23" s="167" t="s">
        <v>318</v>
      </c>
    </row>
    <row r="24" spans="1:17" ht="18.95" customHeight="1" x14ac:dyDescent="0.3">
      <c r="A24" s="4"/>
      <c r="B24" s="139" t="s">
        <v>228</v>
      </c>
      <c r="C24" s="3"/>
      <c r="D24" s="20"/>
      <c r="E24" s="211">
        <v>32</v>
      </c>
      <c r="F24" s="241">
        <f>(67750000/10000000)</f>
        <v>6.7750000000000004</v>
      </c>
      <c r="G24" s="217">
        <v>5</v>
      </c>
      <c r="H24" s="242">
        <f>(4050000/1000000)</f>
        <v>4.05</v>
      </c>
      <c r="I24" s="211">
        <v>27</v>
      </c>
      <c r="J24" s="243">
        <f>(63700000/1000000)</f>
        <v>63.7</v>
      </c>
      <c r="K24" s="240">
        <v>0</v>
      </c>
      <c r="L24" s="240">
        <v>0</v>
      </c>
      <c r="M24" s="240">
        <v>0</v>
      </c>
      <c r="N24" s="240">
        <v>0</v>
      </c>
      <c r="O24" s="167" t="s">
        <v>319</v>
      </c>
    </row>
    <row r="25" spans="1:17" ht="18.95" customHeight="1" x14ac:dyDescent="0.3">
      <c r="A25" s="4"/>
      <c r="B25" s="139" t="s">
        <v>229</v>
      </c>
      <c r="C25" s="19"/>
      <c r="D25" s="20"/>
      <c r="E25" s="211">
        <v>5</v>
      </c>
      <c r="F25" s="241">
        <f>(4500000/100000)</f>
        <v>45</v>
      </c>
      <c r="G25" s="217">
        <v>0</v>
      </c>
      <c r="H25" s="242">
        <v>0</v>
      </c>
      <c r="I25" s="211">
        <v>5</v>
      </c>
      <c r="J25" s="243">
        <f>(4500000/1000000)</f>
        <v>4.5</v>
      </c>
      <c r="K25" s="240">
        <v>0</v>
      </c>
      <c r="L25" s="240">
        <v>0</v>
      </c>
      <c r="M25" s="240">
        <v>0</v>
      </c>
      <c r="N25" s="240">
        <v>0</v>
      </c>
      <c r="O25" s="166" t="s">
        <v>320</v>
      </c>
    </row>
    <row r="26" spans="1:17" ht="18.95" customHeight="1" x14ac:dyDescent="0.3">
      <c r="A26" s="4"/>
      <c r="B26" s="139" t="s">
        <v>230</v>
      </c>
      <c r="C26" s="19"/>
      <c r="D26" s="20"/>
      <c r="E26" s="211">
        <v>2</v>
      </c>
      <c r="F26" s="241">
        <f>(2000000/1000000)</f>
        <v>2</v>
      </c>
      <c r="G26" s="217">
        <v>0</v>
      </c>
      <c r="H26" s="242">
        <v>0</v>
      </c>
      <c r="I26" s="211">
        <v>2</v>
      </c>
      <c r="J26" s="243">
        <f>(2000000/100000)</f>
        <v>20</v>
      </c>
      <c r="K26" s="240">
        <v>0</v>
      </c>
      <c r="L26" s="240">
        <v>0</v>
      </c>
      <c r="M26" s="240">
        <v>0</v>
      </c>
      <c r="N26" s="240">
        <v>0</v>
      </c>
      <c r="O26" s="166" t="s">
        <v>321</v>
      </c>
    </row>
    <row r="27" spans="1:17" ht="18.95" customHeight="1" x14ac:dyDescent="0.3">
      <c r="A27" s="4"/>
      <c r="B27" s="139" t="s">
        <v>231</v>
      </c>
      <c r="C27" s="19"/>
      <c r="D27" s="20"/>
      <c r="E27" s="211">
        <v>8</v>
      </c>
      <c r="F27" s="241">
        <f>(10200000/1000000)</f>
        <v>10.199999999999999</v>
      </c>
      <c r="G27" s="217">
        <v>3</v>
      </c>
      <c r="H27" s="242">
        <f>(3000000/1000000)</f>
        <v>3</v>
      </c>
      <c r="I27" s="211">
        <v>5</v>
      </c>
      <c r="J27" s="243">
        <f>(7200000/1000000)</f>
        <v>7.2</v>
      </c>
      <c r="K27" s="240">
        <v>0</v>
      </c>
      <c r="L27" s="240">
        <v>0</v>
      </c>
      <c r="M27" s="240">
        <v>0</v>
      </c>
      <c r="N27" s="240">
        <v>0</v>
      </c>
      <c r="O27" s="167" t="s">
        <v>322</v>
      </c>
    </row>
    <row r="28" spans="1:17" ht="18.95" customHeight="1" x14ac:dyDescent="0.3">
      <c r="A28" s="4"/>
      <c r="B28" s="139" t="s">
        <v>232</v>
      </c>
      <c r="C28" s="3"/>
      <c r="D28" s="18"/>
      <c r="E28" s="211">
        <v>2</v>
      </c>
      <c r="F28" s="241">
        <f>(2000000/1000000)</f>
        <v>2</v>
      </c>
      <c r="G28" s="217">
        <v>1</v>
      </c>
      <c r="H28" s="242">
        <f>(1000000/1000000)</f>
        <v>1</v>
      </c>
      <c r="I28" s="211">
        <v>1</v>
      </c>
      <c r="J28" s="243">
        <f>(1000000/1000000)</f>
        <v>1</v>
      </c>
      <c r="K28" s="240">
        <v>0</v>
      </c>
      <c r="L28" s="240">
        <v>0</v>
      </c>
      <c r="M28" s="240">
        <v>0</v>
      </c>
      <c r="N28" s="240">
        <v>0</v>
      </c>
      <c r="O28" s="166" t="s">
        <v>323</v>
      </c>
    </row>
    <row r="29" spans="1:17" ht="3" customHeight="1" x14ac:dyDescent="0.3">
      <c r="A29" s="8"/>
      <c r="B29" s="8"/>
      <c r="C29" s="8"/>
      <c r="D29" s="21"/>
      <c r="E29" s="179"/>
      <c r="F29" s="21"/>
      <c r="G29" s="21"/>
      <c r="H29" s="8"/>
      <c r="I29" s="179"/>
      <c r="J29" s="179"/>
      <c r="K29" s="22"/>
      <c r="L29" s="22"/>
      <c r="M29" s="22"/>
      <c r="N29" s="179"/>
      <c r="O29" s="22"/>
    </row>
    <row r="30" spans="1:17" ht="3" customHeight="1" x14ac:dyDescent="0.3"/>
    <row r="31" spans="1:17" x14ac:dyDescent="0.3">
      <c r="A31" s="1"/>
      <c r="B31" s="1" t="s">
        <v>0</v>
      </c>
      <c r="C31" s="2">
        <v>14.4</v>
      </c>
      <c r="D31" s="1" t="s">
        <v>244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</row>
    <row r="32" spans="1:17" x14ac:dyDescent="0.3">
      <c r="A32" s="5"/>
      <c r="B32" s="1" t="s">
        <v>75</v>
      </c>
      <c r="C32" s="2">
        <v>14.4</v>
      </c>
      <c r="D32" s="1" t="s">
        <v>243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</row>
    <row r="33" spans="1:17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</row>
    <row r="34" spans="1:17" x14ac:dyDescent="0.3">
      <c r="A34" s="6"/>
      <c r="B34" s="10"/>
      <c r="C34" s="10"/>
      <c r="D34" s="10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85"/>
      <c r="O34" s="25"/>
      <c r="P34" s="6"/>
      <c r="Q34" s="6"/>
    </row>
    <row r="35" spans="1:17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</row>
    <row r="36" spans="1:17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</row>
    <row r="37" spans="1:17" ht="19.5" x14ac:dyDescent="0.3">
      <c r="A37" s="6"/>
      <c r="B37" s="6"/>
      <c r="C37" s="6"/>
      <c r="D37" s="6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</row>
    <row r="38" spans="1:17" x14ac:dyDescent="0.3">
      <c r="A38" s="6"/>
      <c r="B38" s="6"/>
      <c r="C38" s="6"/>
      <c r="D38" s="6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</row>
    <row r="39" spans="1:17" x14ac:dyDescent="0.3">
      <c r="A39" s="139" t="s">
        <v>233</v>
      </c>
      <c r="B39" s="3"/>
      <c r="C39" s="3"/>
      <c r="D39" s="18"/>
      <c r="E39" s="221">
        <v>12</v>
      </c>
      <c r="F39" s="221">
        <f>(17000000/1000000)</f>
        <v>17</v>
      </c>
      <c r="G39" s="222">
        <v>1</v>
      </c>
      <c r="H39" s="223">
        <f>(1000000/1000000)</f>
        <v>1</v>
      </c>
      <c r="I39" s="222">
        <v>11</v>
      </c>
      <c r="J39" s="222">
        <f>(16000000/1000000)</f>
        <v>16</v>
      </c>
      <c r="K39" s="246">
        <v>0</v>
      </c>
      <c r="L39" s="246">
        <v>0</v>
      </c>
      <c r="M39" s="246">
        <v>0</v>
      </c>
      <c r="N39" s="246">
        <v>0</v>
      </c>
      <c r="O39" s="173" t="s">
        <v>324</v>
      </c>
      <c r="P39" s="6"/>
      <c r="Q39" s="6"/>
    </row>
    <row r="40" spans="1:17" x14ac:dyDescent="0.3">
      <c r="A40" s="141" t="s">
        <v>234</v>
      </c>
      <c r="B40" s="3"/>
      <c r="C40" s="3"/>
      <c r="D40" s="18"/>
      <c r="E40" s="225">
        <v>5</v>
      </c>
      <c r="F40" s="225">
        <f>(41000000/1000000)</f>
        <v>41</v>
      </c>
      <c r="G40" s="225">
        <v>1</v>
      </c>
      <c r="H40" s="248">
        <f>(300000/1000000)</f>
        <v>0.3</v>
      </c>
      <c r="I40" s="225">
        <v>4</v>
      </c>
      <c r="J40" s="225">
        <f>(3800000/1000000)</f>
        <v>3.8</v>
      </c>
      <c r="K40" s="247">
        <v>0</v>
      </c>
      <c r="L40" s="247">
        <v>0</v>
      </c>
      <c r="M40" s="247">
        <v>0</v>
      </c>
      <c r="N40" s="247">
        <v>0</v>
      </c>
      <c r="O40" s="174" t="s">
        <v>325</v>
      </c>
      <c r="P40" s="6"/>
      <c r="Q40" s="6"/>
    </row>
    <row r="41" spans="1:17" x14ac:dyDescent="0.3">
      <c r="A41" s="139" t="s">
        <v>235</v>
      </c>
      <c r="B41" s="3"/>
      <c r="C41" s="3"/>
      <c r="D41" s="18"/>
      <c r="E41" s="211">
        <v>2</v>
      </c>
      <c r="F41" s="217">
        <f>(8000000/1000000)</f>
        <v>8</v>
      </c>
      <c r="G41" s="217">
        <v>0</v>
      </c>
      <c r="H41" s="218">
        <v>0</v>
      </c>
      <c r="I41" s="211">
        <v>2</v>
      </c>
      <c r="J41" s="211">
        <f>(8000000/10000000)</f>
        <v>0.8</v>
      </c>
      <c r="K41" s="247">
        <v>0</v>
      </c>
      <c r="L41" s="247">
        <v>0</v>
      </c>
      <c r="M41" s="247">
        <v>0</v>
      </c>
      <c r="N41" s="247">
        <v>0</v>
      </c>
      <c r="O41" s="175" t="s">
        <v>326</v>
      </c>
    </row>
    <row r="42" spans="1:17" x14ac:dyDescent="0.3">
      <c r="A42" s="139" t="s">
        <v>236</v>
      </c>
      <c r="B42" s="3"/>
      <c r="C42" s="3"/>
      <c r="D42" s="18"/>
      <c r="E42" s="211">
        <v>5</v>
      </c>
      <c r="F42" s="217">
        <f>(11000000/1000000)</f>
        <v>11</v>
      </c>
      <c r="G42" s="217">
        <v>1</v>
      </c>
      <c r="H42" s="218">
        <f>(5000000/1000000)</f>
        <v>5</v>
      </c>
      <c r="I42" s="211">
        <v>4</v>
      </c>
      <c r="J42" s="211">
        <f>(6000000/1000000)</f>
        <v>6</v>
      </c>
      <c r="K42" s="247">
        <v>0</v>
      </c>
      <c r="L42" s="247">
        <v>0</v>
      </c>
      <c r="M42" s="247">
        <v>0</v>
      </c>
      <c r="N42" s="247">
        <v>0</v>
      </c>
      <c r="O42" s="176" t="s">
        <v>327</v>
      </c>
    </row>
    <row r="43" spans="1:17" x14ac:dyDescent="0.3">
      <c r="A43" s="142" t="s">
        <v>237</v>
      </c>
      <c r="B43" s="3"/>
      <c r="C43" s="3"/>
      <c r="D43" s="18"/>
      <c r="E43" s="211">
        <v>3</v>
      </c>
      <c r="F43" s="217">
        <f>(3000000/1000000)</f>
        <v>3</v>
      </c>
      <c r="G43" s="217">
        <v>0</v>
      </c>
      <c r="H43" s="218">
        <v>0</v>
      </c>
      <c r="I43" s="211">
        <v>3</v>
      </c>
      <c r="J43" s="211">
        <f>(3000000/1000000)</f>
        <v>3</v>
      </c>
      <c r="K43" s="247">
        <v>0</v>
      </c>
      <c r="L43" s="247">
        <v>0</v>
      </c>
      <c r="M43" s="247">
        <v>0</v>
      </c>
      <c r="N43" s="247">
        <v>0</v>
      </c>
      <c r="O43" s="176" t="s">
        <v>328</v>
      </c>
    </row>
    <row r="44" spans="1:17" x14ac:dyDescent="0.3">
      <c r="A44" s="139" t="s">
        <v>238</v>
      </c>
      <c r="B44" s="3"/>
      <c r="C44" s="3"/>
      <c r="D44" s="18"/>
      <c r="E44" s="211">
        <v>10</v>
      </c>
      <c r="F44" s="217">
        <f>(11000000/1000000)</f>
        <v>11</v>
      </c>
      <c r="G44" s="217">
        <v>5</v>
      </c>
      <c r="H44" s="218">
        <f>(6000000/1000000)</f>
        <v>6</v>
      </c>
      <c r="I44" s="211">
        <v>5</v>
      </c>
      <c r="J44" s="211">
        <f>(5000000/1000000)</f>
        <v>5</v>
      </c>
      <c r="K44" s="247">
        <v>0</v>
      </c>
      <c r="L44" s="247">
        <v>0</v>
      </c>
      <c r="M44" s="247">
        <v>0</v>
      </c>
      <c r="N44" s="247">
        <v>0</v>
      </c>
      <c r="O44" s="176" t="s">
        <v>329</v>
      </c>
    </row>
    <row r="45" spans="1:17" x14ac:dyDescent="0.3">
      <c r="A45" s="139" t="s">
        <v>239</v>
      </c>
      <c r="B45" s="3"/>
      <c r="C45" s="3"/>
      <c r="D45" s="18"/>
      <c r="E45" s="211">
        <v>8</v>
      </c>
      <c r="F45" s="217">
        <f>(9000000/1000000)</f>
        <v>9</v>
      </c>
      <c r="G45" s="217">
        <v>1</v>
      </c>
      <c r="H45" s="218">
        <f>(1000000/1000000)</f>
        <v>1</v>
      </c>
      <c r="I45" s="211">
        <v>7</v>
      </c>
      <c r="J45" s="211">
        <f>(8000000/1000000)</f>
        <v>8</v>
      </c>
      <c r="K45" s="247">
        <v>0</v>
      </c>
      <c r="L45" s="247">
        <v>0</v>
      </c>
      <c r="M45" s="247">
        <v>0</v>
      </c>
      <c r="N45" s="247">
        <v>0</v>
      </c>
      <c r="O45" s="177" t="s">
        <v>330</v>
      </c>
    </row>
    <row r="46" spans="1:17" ht="6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22"/>
      <c r="L46" s="22"/>
      <c r="M46" s="22"/>
      <c r="N46" s="179"/>
      <c r="O46" s="22"/>
    </row>
    <row r="47" spans="1:17" ht="6" customHeight="1" x14ac:dyDescent="0.3"/>
    <row r="48" spans="1:17" x14ac:dyDescent="0.3">
      <c r="A48" s="9" t="s">
        <v>88</v>
      </c>
      <c r="B48" s="23" t="s">
        <v>210</v>
      </c>
    </row>
    <row r="49" spans="1:17" x14ac:dyDescent="0.3">
      <c r="A49" s="23"/>
      <c r="B49" s="24" t="s">
        <v>211</v>
      </c>
      <c r="C49" s="24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I50" s="24" t="s">
        <v>70</v>
      </c>
      <c r="J50" s="24"/>
      <c r="K50" s="23"/>
      <c r="L50" s="23"/>
      <c r="M50" s="23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0"/>
  <sheetViews>
    <sheetView showGridLines="0" view="pageBreakPreview" topLeftCell="A13" zoomScaleSheetLayoutView="100" workbookViewId="0">
      <selection activeCell="G39" sqref="G39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5" s="4" customFormat="1" x14ac:dyDescent="0.3">
      <c r="A1" s="1"/>
      <c r="B1" s="1" t="s">
        <v>0</v>
      </c>
      <c r="C1" s="2">
        <v>14.5</v>
      </c>
      <c r="D1" s="1" t="s">
        <v>245</v>
      </c>
      <c r="E1" s="1"/>
      <c r="F1" s="1"/>
      <c r="G1" s="1"/>
      <c r="H1" s="1"/>
      <c r="I1" s="1"/>
      <c r="J1" s="1"/>
      <c r="K1" s="1"/>
      <c r="L1" s="3"/>
    </row>
    <row r="2" spans="1:15" s="7" customFormat="1" x14ac:dyDescent="0.3">
      <c r="A2" s="5"/>
      <c r="B2" s="1" t="s">
        <v>75</v>
      </c>
      <c r="C2" s="2">
        <v>14.5</v>
      </c>
      <c r="D2" s="1" t="s">
        <v>246</v>
      </c>
      <c r="E2" s="5"/>
      <c r="F2" s="5"/>
      <c r="G2" s="5"/>
      <c r="H2" s="5"/>
      <c r="I2" s="5"/>
      <c r="J2" s="5"/>
      <c r="K2" s="5"/>
      <c r="L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5" s="6" customFormat="1" ht="16.5" customHeight="1" x14ac:dyDescent="0.3">
      <c r="A4" s="70"/>
      <c r="B4" s="71"/>
      <c r="C4" s="71"/>
      <c r="D4" s="71"/>
      <c r="E4" s="286" t="s">
        <v>134</v>
      </c>
      <c r="F4" s="287"/>
      <c r="G4" s="287"/>
      <c r="H4" s="287"/>
      <c r="I4" s="288"/>
      <c r="J4" s="72"/>
      <c r="K4" s="71"/>
    </row>
    <row r="5" spans="1:15" s="6" customFormat="1" ht="16.5" customHeight="1" x14ac:dyDescent="0.3">
      <c r="A5" s="281"/>
      <c r="B5" s="281"/>
      <c r="C5" s="281"/>
      <c r="D5" s="282"/>
      <c r="E5" s="74"/>
      <c r="F5" s="50" t="s">
        <v>78</v>
      </c>
      <c r="G5" s="75" t="s">
        <v>4</v>
      </c>
      <c r="H5" s="75" t="s">
        <v>4</v>
      </c>
      <c r="I5" s="75" t="s">
        <v>6</v>
      </c>
      <c r="J5" s="75"/>
      <c r="K5" s="73"/>
    </row>
    <row r="6" spans="1:15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5" s="6" customFormat="1" ht="12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5" s="6" customFormat="1" ht="12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5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5" s="6" customFormat="1" ht="15" customHeight="1" x14ac:dyDescent="0.3">
      <c r="A10" s="283" t="s">
        <v>15</v>
      </c>
      <c r="B10" s="283"/>
      <c r="C10" s="283"/>
      <c r="D10" s="284"/>
      <c r="E10" s="228">
        <f>SUM(E11:E36)</f>
        <v>685</v>
      </c>
      <c r="F10" s="228">
        <f>SUM(F11:F36)</f>
        <v>288</v>
      </c>
      <c r="G10" s="228">
        <f>SUM(G11:G36)</f>
        <v>397</v>
      </c>
      <c r="H10" s="254">
        <f>SUM(H11:H36)</f>
        <v>0</v>
      </c>
      <c r="I10" s="254">
        <f t="shared" ref="I10" si="0">SUM(I11:I36)</f>
        <v>0</v>
      </c>
      <c r="J10" s="17"/>
      <c r="K10" s="66" t="s">
        <v>11</v>
      </c>
    </row>
    <row r="11" spans="1:15" s="51" customFormat="1" ht="14.25" customHeight="1" x14ac:dyDescent="0.3">
      <c r="A11" s="50"/>
      <c r="B11" s="53" t="s">
        <v>89</v>
      </c>
      <c r="C11" s="50"/>
      <c r="D11" s="67"/>
      <c r="E11" s="249">
        <v>2</v>
      </c>
      <c r="F11" s="250">
        <v>1</v>
      </c>
      <c r="G11" s="251">
        <v>1</v>
      </c>
      <c r="H11" s="252">
        <v>0</v>
      </c>
      <c r="I11" s="249">
        <v>0</v>
      </c>
      <c r="J11" s="52"/>
      <c r="K11" s="69" t="s">
        <v>97</v>
      </c>
      <c r="O11" s="6"/>
    </row>
    <row r="12" spans="1:15" s="51" customFormat="1" ht="14.25" customHeight="1" x14ac:dyDescent="0.3">
      <c r="A12" s="50"/>
      <c r="B12" s="53" t="s">
        <v>58</v>
      </c>
      <c r="C12" s="50"/>
      <c r="D12" s="67"/>
      <c r="E12" s="249">
        <v>3</v>
      </c>
      <c r="F12" s="253" t="s">
        <v>305</v>
      </c>
      <c r="G12" s="251">
        <v>3</v>
      </c>
      <c r="H12" s="252">
        <v>0</v>
      </c>
      <c r="I12" s="249">
        <v>0</v>
      </c>
      <c r="J12" s="52"/>
      <c r="K12" s="69" t="s">
        <v>62</v>
      </c>
      <c r="O12" s="6"/>
    </row>
    <row r="13" spans="1:15" s="51" customFormat="1" ht="14.25" customHeight="1" x14ac:dyDescent="0.3">
      <c r="A13" s="50"/>
      <c r="B13" s="53" t="s">
        <v>59</v>
      </c>
      <c r="C13" s="50"/>
      <c r="D13" s="67"/>
      <c r="E13" s="249">
        <v>44</v>
      </c>
      <c r="F13" s="250">
        <v>20</v>
      </c>
      <c r="G13" s="251">
        <v>24</v>
      </c>
      <c r="H13" s="252">
        <v>0</v>
      </c>
      <c r="I13" s="249">
        <v>0</v>
      </c>
      <c r="J13" s="52"/>
      <c r="K13" s="69" t="s">
        <v>63</v>
      </c>
      <c r="O13" s="6"/>
    </row>
    <row r="14" spans="1:15" s="51" customFormat="1" ht="14.25" customHeight="1" x14ac:dyDescent="0.3">
      <c r="A14" s="50"/>
      <c r="B14" s="53" t="s">
        <v>90</v>
      </c>
      <c r="C14" s="50"/>
      <c r="D14" s="67"/>
      <c r="E14" s="249">
        <v>5</v>
      </c>
      <c r="F14" s="250">
        <v>4</v>
      </c>
      <c r="G14" s="251">
        <v>1</v>
      </c>
      <c r="H14" s="252">
        <v>0</v>
      </c>
      <c r="I14" s="249">
        <v>0</v>
      </c>
      <c r="J14" s="52"/>
      <c r="K14" s="69" t="s">
        <v>132</v>
      </c>
      <c r="O14" s="6"/>
    </row>
    <row r="15" spans="1:15" s="51" customFormat="1" ht="14.25" customHeight="1" x14ac:dyDescent="0.3">
      <c r="A15" s="50"/>
      <c r="B15" s="53" t="s">
        <v>98</v>
      </c>
      <c r="C15" s="50"/>
      <c r="D15" s="67"/>
      <c r="E15" s="249">
        <v>1</v>
      </c>
      <c r="F15" s="250">
        <v>1</v>
      </c>
      <c r="G15" s="251">
        <v>0</v>
      </c>
      <c r="H15" s="252">
        <v>0</v>
      </c>
      <c r="I15" s="249">
        <v>0</v>
      </c>
      <c r="J15" s="52"/>
      <c r="K15" s="53" t="s">
        <v>110</v>
      </c>
      <c r="O15" s="6"/>
    </row>
    <row r="16" spans="1:15" s="51" customFormat="1" ht="14.25" customHeight="1" x14ac:dyDescent="0.3">
      <c r="A16" s="50"/>
      <c r="B16" s="53" t="s">
        <v>91</v>
      </c>
      <c r="C16" s="50"/>
      <c r="D16" s="67"/>
      <c r="E16" s="249">
        <v>0</v>
      </c>
      <c r="F16" s="250">
        <v>0</v>
      </c>
      <c r="G16" s="251">
        <v>0</v>
      </c>
      <c r="H16" s="252">
        <v>0</v>
      </c>
      <c r="I16" s="249">
        <v>0</v>
      </c>
      <c r="J16" s="52"/>
      <c r="K16" s="69" t="s">
        <v>111</v>
      </c>
      <c r="O16" s="6"/>
    </row>
    <row r="17" spans="1:15" s="51" customFormat="1" ht="14.25" customHeight="1" x14ac:dyDescent="0.3">
      <c r="A17" s="50"/>
      <c r="B17" s="53" t="s">
        <v>60</v>
      </c>
      <c r="C17" s="50"/>
      <c r="D17" s="67"/>
      <c r="E17" s="249">
        <v>167</v>
      </c>
      <c r="F17" s="250">
        <v>36</v>
      </c>
      <c r="G17" s="251">
        <v>131</v>
      </c>
      <c r="H17" s="252">
        <v>0</v>
      </c>
      <c r="I17" s="249">
        <v>0</v>
      </c>
      <c r="J17" s="52"/>
      <c r="K17" s="69" t="s">
        <v>64</v>
      </c>
      <c r="O17" s="6"/>
    </row>
    <row r="18" spans="1:15" s="51" customFormat="1" ht="14.25" customHeight="1" x14ac:dyDescent="0.3">
      <c r="A18" s="53"/>
      <c r="B18" s="53" t="s">
        <v>99</v>
      </c>
      <c r="C18" s="53"/>
      <c r="D18" s="68"/>
      <c r="E18" s="249">
        <v>299</v>
      </c>
      <c r="F18" s="250">
        <v>116</v>
      </c>
      <c r="G18" s="251">
        <v>183</v>
      </c>
      <c r="H18" s="252">
        <v>0</v>
      </c>
      <c r="I18" s="249">
        <v>0</v>
      </c>
      <c r="J18" s="52"/>
      <c r="K18" s="69" t="s">
        <v>112</v>
      </c>
      <c r="O18" s="6"/>
    </row>
    <row r="19" spans="1:15" s="51" customFormat="1" ht="14.25" customHeight="1" x14ac:dyDescent="0.3">
      <c r="A19" s="53"/>
      <c r="B19" s="53" t="s">
        <v>92</v>
      </c>
      <c r="C19" s="53"/>
      <c r="D19" s="68"/>
      <c r="E19" s="249">
        <v>0</v>
      </c>
      <c r="F19" s="249">
        <v>0</v>
      </c>
      <c r="G19" s="249">
        <v>0</v>
      </c>
      <c r="H19" s="252">
        <v>0</v>
      </c>
      <c r="I19" s="249">
        <v>0</v>
      </c>
      <c r="J19" s="52"/>
      <c r="K19" s="69" t="s">
        <v>113</v>
      </c>
      <c r="O19" s="6"/>
    </row>
    <row r="20" spans="1:15" s="51" customFormat="1" ht="14.25" customHeight="1" x14ac:dyDescent="0.3">
      <c r="A20" s="53"/>
      <c r="B20" s="53" t="s">
        <v>100</v>
      </c>
      <c r="C20" s="53"/>
      <c r="D20" s="68"/>
      <c r="E20" s="249">
        <v>22</v>
      </c>
      <c r="F20" s="250">
        <v>5</v>
      </c>
      <c r="G20" s="251">
        <v>17</v>
      </c>
      <c r="H20" s="252">
        <v>0</v>
      </c>
      <c r="I20" s="249">
        <v>0</v>
      </c>
      <c r="J20" s="52"/>
      <c r="K20" s="69" t="s">
        <v>114</v>
      </c>
      <c r="O20" s="6"/>
    </row>
    <row r="21" spans="1:15" s="51" customFormat="1" ht="14.25" customHeight="1" x14ac:dyDescent="0.3">
      <c r="A21" s="53"/>
      <c r="B21" s="53" t="s">
        <v>101</v>
      </c>
      <c r="C21" s="53"/>
      <c r="D21" s="68"/>
      <c r="E21" s="249">
        <v>22</v>
      </c>
      <c r="F21" s="250">
        <v>15</v>
      </c>
      <c r="G21" s="251">
        <v>7</v>
      </c>
      <c r="H21" s="252">
        <v>0</v>
      </c>
      <c r="I21" s="249">
        <v>0</v>
      </c>
      <c r="J21" s="52"/>
      <c r="K21" s="69" t="s">
        <v>115</v>
      </c>
      <c r="O21" s="6"/>
    </row>
    <row r="22" spans="1:15" s="51" customFormat="1" ht="14.25" customHeight="1" x14ac:dyDescent="0.3">
      <c r="A22" s="53"/>
      <c r="B22" s="53" t="s">
        <v>102</v>
      </c>
      <c r="C22" s="53"/>
      <c r="D22" s="68"/>
      <c r="E22" s="249">
        <v>9</v>
      </c>
      <c r="F22" s="250">
        <v>8</v>
      </c>
      <c r="G22" s="251">
        <v>1</v>
      </c>
      <c r="H22" s="252">
        <v>0</v>
      </c>
      <c r="I22" s="249">
        <v>0</v>
      </c>
      <c r="J22" s="52"/>
      <c r="K22" s="69" t="s">
        <v>116</v>
      </c>
      <c r="O22" s="6"/>
    </row>
    <row r="23" spans="1:15" s="51" customFormat="1" ht="14.25" customHeight="1" x14ac:dyDescent="0.3">
      <c r="A23" s="53"/>
      <c r="B23" s="53" t="s">
        <v>103</v>
      </c>
      <c r="C23" s="53"/>
      <c r="D23" s="68"/>
      <c r="E23" s="249">
        <v>8</v>
      </c>
      <c r="F23" s="250">
        <v>6</v>
      </c>
      <c r="G23" s="251">
        <v>2</v>
      </c>
      <c r="H23" s="252">
        <v>0</v>
      </c>
      <c r="I23" s="249">
        <v>0</v>
      </c>
      <c r="J23" s="52"/>
      <c r="K23" s="69" t="s">
        <v>117</v>
      </c>
      <c r="O23" s="6"/>
    </row>
    <row r="24" spans="1:15" s="51" customFormat="1" ht="14.25" customHeight="1" x14ac:dyDescent="0.3">
      <c r="A24" s="53"/>
      <c r="B24" s="53" t="s">
        <v>93</v>
      </c>
      <c r="C24" s="53"/>
      <c r="D24" s="68"/>
      <c r="E24" s="249">
        <v>54</v>
      </c>
      <c r="F24" s="250">
        <v>51</v>
      </c>
      <c r="G24" s="251">
        <v>3</v>
      </c>
      <c r="H24" s="252">
        <v>0</v>
      </c>
      <c r="I24" s="249">
        <v>0</v>
      </c>
      <c r="J24" s="52"/>
      <c r="K24" s="69" t="s">
        <v>118</v>
      </c>
      <c r="O24" s="6"/>
    </row>
    <row r="25" spans="1:15" s="51" customFormat="1" ht="14.25" customHeight="1" x14ac:dyDescent="0.3">
      <c r="A25" s="53"/>
      <c r="B25" s="53" t="s">
        <v>131</v>
      </c>
      <c r="C25" s="53"/>
      <c r="D25" s="68"/>
      <c r="E25" s="249">
        <v>20</v>
      </c>
      <c r="F25" s="250">
        <v>9</v>
      </c>
      <c r="G25" s="251">
        <v>11</v>
      </c>
      <c r="H25" s="252">
        <v>0</v>
      </c>
      <c r="I25" s="249">
        <v>0</v>
      </c>
      <c r="J25" s="52"/>
      <c r="K25" s="69" t="s">
        <v>119</v>
      </c>
      <c r="O25" s="6"/>
    </row>
    <row r="26" spans="1:15" s="51" customFormat="1" ht="14.25" customHeight="1" x14ac:dyDescent="0.3">
      <c r="A26" s="53"/>
      <c r="B26" s="53" t="s">
        <v>104</v>
      </c>
      <c r="C26" s="53"/>
      <c r="D26" s="68"/>
      <c r="E26" s="249">
        <v>12</v>
      </c>
      <c r="F26" s="250">
        <v>5</v>
      </c>
      <c r="G26" s="251">
        <v>7</v>
      </c>
      <c r="H26" s="252">
        <v>0</v>
      </c>
      <c r="I26" s="249">
        <v>0</v>
      </c>
      <c r="J26" s="52"/>
      <c r="K26" s="69" t="s">
        <v>120</v>
      </c>
      <c r="O26" s="6"/>
    </row>
    <row r="27" spans="1:15" s="51" customFormat="1" ht="14.25" customHeight="1" x14ac:dyDescent="0.3">
      <c r="A27" s="53"/>
      <c r="B27" s="53" t="s">
        <v>105</v>
      </c>
      <c r="C27" s="53"/>
      <c r="D27" s="68"/>
      <c r="E27" s="249">
        <v>0</v>
      </c>
      <c r="F27" s="249">
        <v>0</v>
      </c>
      <c r="G27" s="249">
        <v>0</v>
      </c>
      <c r="H27" s="252">
        <v>0</v>
      </c>
      <c r="I27" s="249">
        <v>0</v>
      </c>
      <c r="J27" s="52"/>
      <c r="K27" s="69" t="s">
        <v>121</v>
      </c>
      <c r="O27" s="6"/>
    </row>
    <row r="28" spans="1:15" s="51" customFormat="1" ht="14.25" customHeight="1" x14ac:dyDescent="0.3">
      <c r="A28" s="53"/>
      <c r="B28" s="53" t="s">
        <v>94</v>
      </c>
      <c r="C28" s="53"/>
      <c r="D28" s="68"/>
      <c r="E28" s="249">
        <v>0</v>
      </c>
      <c r="F28" s="249">
        <v>0</v>
      </c>
      <c r="G28" s="249">
        <v>0</v>
      </c>
      <c r="H28" s="252">
        <v>0</v>
      </c>
      <c r="I28" s="249">
        <v>0</v>
      </c>
      <c r="J28" s="52"/>
      <c r="K28" s="69" t="s">
        <v>133</v>
      </c>
      <c r="O28" s="6"/>
    </row>
    <row r="29" spans="1:15" s="51" customFormat="1" ht="14.25" customHeight="1" x14ac:dyDescent="0.3">
      <c r="A29" s="53"/>
      <c r="B29" s="53" t="s">
        <v>61</v>
      </c>
      <c r="C29" s="53"/>
      <c r="D29" s="68"/>
      <c r="E29" s="249">
        <v>7</v>
      </c>
      <c r="F29" s="250">
        <v>5</v>
      </c>
      <c r="G29" s="251">
        <v>2</v>
      </c>
      <c r="H29" s="252">
        <v>0</v>
      </c>
      <c r="I29" s="249">
        <v>0</v>
      </c>
      <c r="J29" s="52"/>
      <c r="K29" s="69" t="s">
        <v>65</v>
      </c>
      <c r="O29" s="6"/>
    </row>
    <row r="30" spans="1:15" s="51" customFormat="1" ht="14.25" customHeight="1" x14ac:dyDescent="0.3">
      <c r="A30" s="53"/>
      <c r="B30" s="53" t="s">
        <v>106</v>
      </c>
      <c r="C30" s="53"/>
      <c r="D30" s="68"/>
      <c r="E30" s="249">
        <v>5</v>
      </c>
      <c r="F30" s="250">
        <v>3</v>
      </c>
      <c r="G30" s="251">
        <v>2</v>
      </c>
      <c r="H30" s="252">
        <v>0</v>
      </c>
      <c r="I30" s="249">
        <v>0</v>
      </c>
      <c r="J30" s="52"/>
      <c r="K30" s="69" t="s">
        <v>122</v>
      </c>
      <c r="O30" s="6"/>
    </row>
    <row r="31" spans="1:15" s="51" customFormat="1" ht="14.25" customHeight="1" x14ac:dyDescent="0.3">
      <c r="A31" s="53"/>
      <c r="B31" s="53" t="s">
        <v>107</v>
      </c>
      <c r="C31" s="53"/>
      <c r="D31" s="68"/>
      <c r="E31" s="249">
        <v>2</v>
      </c>
      <c r="F31" s="250">
        <v>2</v>
      </c>
      <c r="G31" s="251">
        <v>0</v>
      </c>
      <c r="H31" s="252">
        <v>0</v>
      </c>
      <c r="I31" s="249">
        <v>0</v>
      </c>
      <c r="J31" s="52"/>
      <c r="K31" s="69" t="s">
        <v>123</v>
      </c>
      <c r="O31" s="6"/>
    </row>
    <row r="32" spans="1:15" s="51" customFormat="1" ht="14.25" customHeight="1" x14ac:dyDescent="0.3">
      <c r="A32" s="53"/>
      <c r="B32" s="53" t="s">
        <v>95</v>
      </c>
      <c r="C32" s="53"/>
      <c r="D32" s="68"/>
      <c r="E32" s="249">
        <v>3</v>
      </c>
      <c r="F32" s="250">
        <v>1</v>
      </c>
      <c r="G32" s="251">
        <v>2</v>
      </c>
      <c r="H32" s="252">
        <v>0</v>
      </c>
      <c r="I32" s="249">
        <v>0</v>
      </c>
      <c r="J32" s="52"/>
      <c r="K32" s="69" t="s">
        <v>124</v>
      </c>
      <c r="O32" s="6"/>
    </row>
    <row r="33" spans="1:15" s="51" customFormat="1" ht="14.25" customHeight="1" x14ac:dyDescent="0.3">
      <c r="A33" s="53"/>
      <c r="C33" s="53"/>
      <c r="D33" s="68"/>
      <c r="E33" s="249">
        <v>0</v>
      </c>
      <c r="F33" s="249">
        <v>0</v>
      </c>
      <c r="G33" s="249">
        <v>0</v>
      </c>
      <c r="H33" s="252">
        <v>0</v>
      </c>
      <c r="I33" s="249">
        <v>0</v>
      </c>
      <c r="J33" s="52"/>
      <c r="K33" s="69" t="s">
        <v>126</v>
      </c>
      <c r="O33" s="6"/>
    </row>
    <row r="34" spans="1:15" s="51" customFormat="1" ht="14.25" customHeight="1" x14ac:dyDescent="0.3">
      <c r="A34" s="53"/>
      <c r="B34" s="53" t="s">
        <v>96</v>
      </c>
      <c r="C34" s="53"/>
      <c r="D34" s="68"/>
      <c r="E34" s="249">
        <v>0</v>
      </c>
      <c r="F34" s="249">
        <v>0</v>
      </c>
      <c r="G34" s="249">
        <v>0</v>
      </c>
      <c r="H34" s="252">
        <v>0</v>
      </c>
      <c r="I34" s="249">
        <v>0</v>
      </c>
      <c r="J34" s="52"/>
      <c r="K34" s="69" t="s">
        <v>127</v>
      </c>
      <c r="O34" s="6"/>
    </row>
    <row r="35" spans="1:15" s="51" customFormat="1" ht="14.25" customHeight="1" x14ac:dyDescent="0.3">
      <c r="A35" s="53"/>
      <c r="B35" s="53" t="s">
        <v>108</v>
      </c>
      <c r="C35" s="53"/>
      <c r="D35" s="68"/>
      <c r="E35" s="249">
        <v>0</v>
      </c>
      <c r="F35" s="249">
        <v>0</v>
      </c>
      <c r="G35" s="249">
        <v>0</v>
      </c>
      <c r="H35" s="252">
        <v>0</v>
      </c>
      <c r="I35" s="249">
        <v>0</v>
      </c>
      <c r="J35" s="52"/>
      <c r="K35" s="69" t="s">
        <v>128</v>
      </c>
      <c r="O35" s="6"/>
    </row>
    <row r="36" spans="1:15" s="51" customFormat="1" ht="14.25" customHeight="1" x14ac:dyDescent="0.3">
      <c r="A36" s="53"/>
      <c r="B36" s="53" t="s">
        <v>109</v>
      </c>
      <c r="C36" s="53"/>
      <c r="D36" s="68"/>
      <c r="E36" s="249">
        <v>0</v>
      </c>
      <c r="F36" s="249">
        <v>0</v>
      </c>
      <c r="G36" s="249">
        <v>0</v>
      </c>
      <c r="H36" s="252">
        <v>0</v>
      </c>
      <c r="I36" s="249">
        <v>0</v>
      </c>
      <c r="J36" s="52"/>
      <c r="K36" s="69" t="s">
        <v>125</v>
      </c>
      <c r="O36" s="6"/>
    </row>
    <row r="37" spans="1:15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  <c r="O37" s="6">
        <f t="shared" ref="O37" si="1">SUM(F37:I37)</f>
        <v>0</v>
      </c>
    </row>
    <row r="38" spans="1:15" ht="3" customHeight="1" x14ac:dyDescent="0.3"/>
    <row r="39" spans="1:15" s="6" customFormat="1" ht="16.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H39" s="23"/>
      <c r="I39" s="23"/>
      <c r="J39" s="23"/>
      <c r="K39" s="23"/>
    </row>
    <row r="40" spans="1:15" x14ac:dyDescent="0.3">
      <c r="B40" s="24" t="s">
        <v>68</v>
      </c>
      <c r="C40" s="24"/>
      <c r="D40" s="23"/>
      <c r="E40" s="23"/>
      <c r="F40" s="23"/>
      <c r="G40" s="24" t="s">
        <v>69</v>
      </c>
      <c r="H40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U33"/>
  <sheetViews>
    <sheetView showGridLines="0" view="pageBreakPreview" topLeftCell="A7" zoomScale="90" zoomScaleSheetLayoutView="90" workbookViewId="0">
      <selection activeCell="Y12" sqref="Y12"/>
    </sheetView>
  </sheetViews>
  <sheetFormatPr defaultColWidth="11" defaultRowHeight="15.75" x14ac:dyDescent="0.5"/>
  <cols>
    <col min="1" max="1" width="1.5703125" style="48" customWidth="1"/>
    <col min="2" max="2" width="1.7109375" style="48" customWidth="1"/>
    <col min="3" max="3" width="4.42578125" style="48" customWidth="1"/>
    <col min="4" max="4" width="4.5703125" style="48" customWidth="1"/>
    <col min="5" max="5" width="11" style="48" customWidth="1"/>
    <col min="6" max="6" width="11.85546875" style="48" customWidth="1"/>
    <col min="7" max="7" width="2.42578125" style="48" customWidth="1"/>
    <col min="8" max="8" width="12.7109375" style="48" customWidth="1"/>
    <col min="9" max="9" width="4" style="48" customWidth="1"/>
    <col min="10" max="10" width="12.140625" style="48" customWidth="1"/>
    <col min="11" max="11" width="2.7109375" style="48" customWidth="1"/>
    <col min="12" max="12" width="10.7109375" style="48" customWidth="1"/>
    <col min="13" max="13" width="3" style="48" customWidth="1"/>
    <col min="14" max="14" width="11.42578125" style="48" customWidth="1"/>
    <col min="15" max="15" width="3.28515625" style="48" customWidth="1"/>
    <col min="16" max="16" width="11.85546875" style="48" customWidth="1"/>
    <col min="17" max="17" width="2.140625" style="48" customWidth="1"/>
    <col min="18" max="18" width="11.7109375" style="48" customWidth="1"/>
    <col min="19" max="19" width="1.7109375" style="48" customWidth="1"/>
    <col min="20" max="20" width="14.7109375" style="48" customWidth="1"/>
    <col min="21" max="21" width="2.42578125" style="48" customWidth="1"/>
    <col min="22" max="22" width="2.28515625" style="48" customWidth="1"/>
    <col min="23" max="23" width="5.28515625" style="48" customWidth="1"/>
    <col min="24" max="16384" width="11" style="48"/>
  </cols>
  <sheetData>
    <row r="1" spans="1:21" s="28" customFormat="1" ht="18.75" x14ac:dyDescent="0.3">
      <c r="B1" s="28" t="s">
        <v>16</v>
      </c>
      <c r="D1" s="29">
        <v>14.6</v>
      </c>
      <c r="E1" s="30" t="s">
        <v>247</v>
      </c>
    </row>
    <row r="2" spans="1:21" s="28" customFormat="1" ht="18.75" x14ac:dyDescent="0.3">
      <c r="B2" s="1" t="s">
        <v>75</v>
      </c>
      <c r="D2" s="29">
        <v>14.6</v>
      </c>
      <c r="E2" s="28" t="s">
        <v>248</v>
      </c>
    </row>
    <row r="3" spans="1:21" s="32" customFormat="1" ht="6" customHeight="1" x14ac:dyDescent="0.5">
      <c r="A3" s="31"/>
    </row>
    <row r="4" spans="1:21" s="33" customFormat="1" ht="18" customHeight="1" x14ac:dyDescent="0.5">
      <c r="A4" s="54"/>
      <c r="B4" s="55"/>
      <c r="C4" s="55"/>
      <c r="D4" s="55"/>
      <c r="E4" s="55"/>
      <c r="F4" s="303" t="s">
        <v>17</v>
      </c>
      <c r="G4" s="304"/>
      <c r="H4" s="304"/>
      <c r="I4" s="304"/>
      <c r="J4" s="304"/>
      <c r="K4" s="304"/>
      <c r="L4" s="304"/>
      <c r="M4" s="304"/>
      <c r="N4" s="304"/>
      <c r="O4" s="305"/>
      <c r="P4" s="303" t="s">
        <v>18</v>
      </c>
      <c r="Q4" s="304"/>
      <c r="R4" s="304"/>
      <c r="S4" s="304"/>
      <c r="T4" s="304"/>
      <c r="U4" s="304"/>
    </row>
    <row r="5" spans="1:21" s="33" customFormat="1" ht="18" customHeight="1" x14ac:dyDescent="0.5">
      <c r="A5" s="56"/>
      <c r="B5" s="56"/>
      <c r="C5" s="56"/>
      <c r="D5" s="56"/>
      <c r="E5" s="56"/>
      <c r="F5" s="308" t="s">
        <v>135</v>
      </c>
      <c r="G5" s="309"/>
      <c r="H5" s="309"/>
      <c r="I5" s="309"/>
      <c r="J5" s="309"/>
      <c r="K5" s="309"/>
      <c r="L5" s="309"/>
      <c r="M5" s="309"/>
      <c r="N5" s="309"/>
      <c r="O5" s="310"/>
      <c r="P5" s="306" t="s">
        <v>136</v>
      </c>
      <c r="Q5" s="307"/>
      <c r="R5" s="307"/>
      <c r="S5" s="307"/>
      <c r="T5" s="307"/>
      <c r="U5" s="307"/>
    </row>
    <row r="6" spans="1:21" s="33" customFormat="1" ht="18" customHeight="1" x14ac:dyDescent="0.5">
      <c r="A6" s="56"/>
      <c r="B6" s="56"/>
      <c r="C6" s="56"/>
      <c r="D6" s="56"/>
      <c r="E6" s="56"/>
      <c r="F6" s="301"/>
      <c r="G6" s="302"/>
      <c r="H6" s="298" t="s">
        <v>20</v>
      </c>
      <c r="I6" s="298"/>
      <c r="J6" s="301" t="s">
        <v>21</v>
      </c>
      <c r="K6" s="302"/>
      <c r="L6" s="291"/>
      <c r="M6" s="291"/>
      <c r="N6" s="311"/>
      <c r="O6" s="312"/>
      <c r="P6" s="289"/>
      <c r="Q6" s="291"/>
      <c r="R6" s="301"/>
      <c r="S6" s="302"/>
      <c r="T6" s="298" t="s">
        <v>26</v>
      </c>
      <c r="U6" s="298"/>
    </row>
    <row r="7" spans="1:21" s="33" customFormat="1" ht="18" customHeight="1" x14ac:dyDescent="0.5">
      <c r="A7" s="54"/>
      <c r="B7" s="56"/>
      <c r="C7" s="56"/>
      <c r="D7" s="56"/>
      <c r="E7" s="56"/>
      <c r="F7" s="289"/>
      <c r="G7" s="290"/>
      <c r="H7" s="298" t="s">
        <v>28</v>
      </c>
      <c r="I7" s="298"/>
      <c r="J7" s="289" t="s">
        <v>29</v>
      </c>
      <c r="K7" s="290"/>
      <c r="L7" s="291"/>
      <c r="M7" s="291"/>
      <c r="N7" s="292"/>
      <c r="O7" s="293"/>
      <c r="P7" s="289"/>
      <c r="Q7" s="291"/>
      <c r="R7" s="289"/>
      <c r="S7" s="290"/>
      <c r="T7" s="298" t="s">
        <v>32</v>
      </c>
      <c r="U7" s="298"/>
    </row>
    <row r="8" spans="1:21" s="33" customFormat="1" ht="18" customHeight="1" x14ac:dyDescent="0.5">
      <c r="A8" s="294" t="s">
        <v>3</v>
      </c>
      <c r="B8" s="294"/>
      <c r="C8" s="294"/>
      <c r="D8" s="294"/>
      <c r="E8" s="295"/>
      <c r="F8" s="289"/>
      <c r="G8" s="290"/>
      <c r="H8" s="298" t="s">
        <v>34</v>
      </c>
      <c r="I8" s="298"/>
      <c r="J8" s="289" t="s">
        <v>35</v>
      </c>
      <c r="K8" s="290"/>
      <c r="L8" s="289"/>
      <c r="M8" s="290"/>
      <c r="N8" s="292" t="s">
        <v>23</v>
      </c>
      <c r="O8" s="293"/>
      <c r="P8" s="289"/>
      <c r="Q8" s="291"/>
      <c r="R8" s="289"/>
      <c r="S8" s="290"/>
      <c r="T8" s="298" t="s">
        <v>40</v>
      </c>
      <c r="U8" s="298"/>
    </row>
    <row r="9" spans="1:21" s="33" customFormat="1" ht="18" customHeight="1" x14ac:dyDescent="0.5">
      <c r="A9" s="296" t="s">
        <v>14</v>
      </c>
      <c r="B9" s="296"/>
      <c r="C9" s="296"/>
      <c r="D9" s="296"/>
      <c r="E9" s="297"/>
      <c r="F9" s="289"/>
      <c r="G9" s="290"/>
      <c r="H9" s="298" t="s">
        <v>41</v>
      </c>
      <c r="I9" s="298"/>
      <c r="J9" s="289" t="s">
        <v>42</v>
      </c>
      <c r="K9" s="290"/>
      <c r="L9" s="291" t="s">
        <v>22</v>
      </c>
      <c r="M9" s="291"/>
      <c r="N9" s="292" t="s">
        <v>31</v>
      </c>
      <c r="O9" s="293"/>
      <c r="P9" s="289" t="s">
        <v>24</v>
      </c>
      <c r="Q9" s="290"/>
      <c r="R9" s="289" t="s">
        <v>25</v>
      </c>
      <c r="S9" s="290"/>
      <c r="T9" s="298" t="s">
        <v>46</v>
      </c>
      <c r="U9" s="298"/>
    </row>
    <row r="10" spans="1:21" s="33" customFormat="1" ht="18" customHeight="1" x14ac:dyDescent="0.5">
      <c r="A10" s="56"/>
      <c r="B10" s="56"/>
      <c r="C10" s="56"/>
      <c r="D10" s="56"/>
      <c r="E10" s="56"/>
      <c r="F10" s="289" t="s">
        <v>19</v>
      </c>
      <c r="G10" s="290"/>
      <c r="H10" s="298" t="s">
        <v>47</v>
      </c>
      <c r="I10" s="298"/>
      <c r="J10" s="289" t="s">
        <v>48</v>
      </c>
      <c r="K10" s="290"/>
      <c r="L10" s="289" t="s">
        <v>30</v>
      </c>
      <c r="M10" s="290"/>
      <c r="N10" s="292" t="s">
        <v>37</v>
      </c>
      <c r="O10" s="293"/>
      <c r="P10" s="289" t="s">
        <v>32</v>
      </c>
      <c r="Q10" s="290"/>
      <c r="R10" s="289" t="s">
        <v>27</v>
      </c>
      <c r="S10" s="290"/>
      <c r="T10" s="298" t="s">
        <v>45</v>
      </c>
      <c r="U10" s="298"/>
    </row>
    <row r="11" spans="1:21" s="33" customFormat="1" ht="18" customHeight="1" x14ac:dyDescent="0.5">
      <c r="A11" s="56"/>
      <c r="B11" s="56"/>
      <c r="C11" s="56"/>
      <c r="D11" s="56"/>
      <c r="E11" s="56"/>
      <c r="F11" s="289" t="s">
        <v>27</v>
      </c>
      <c r="G11" s="290"/>
      <c r="H11" s="298" t="s">
        <v>50</v>
      </c>
      <c r="I11" s="298"/>
      <c r="J11" s="289" t="s">
        <v>139</v>
      </c>
      <c r="K11" s="290"/>
      <c r="L11" s="289" t="s">
        <v>36</v>
      </c>
      <c r="M11" s="290"/>
      <c r="N11" s="292" t="s">
        <v>140</v>
      </c>
      <c r="O11" s="293"/>
      <c r="P11" s="289" t="s">
        <v>38</v>
      </c>
      <c r="Q11" s="290"/>
      <c r="R11" s="289" t="s">
        <v>39</v>
      </c>
      <c r="S11" s="290"/>
      <c r="T11" s="298" t="s">
        <v>141</v>
      </c>
      <c r="U11" s="298"/>
    </row>
    <row r="12" spans="1:21" s="33" customFormat="1" ht="18" customHeight="1" x14ac:dyDescent="0.5">
      <c r="A12" s="56"/>
      <c r="B12" s="56"/>
      <c r="C12" s="56"/>
      <c r="D12" s="56"/>
      <c r="E12" s="56"/>
      <c r="F12" s="289" t="s">
        <v>33</v>
      </c>
      <c r="G12" s="290"/>
      <c r="H12" s="291" t="s">
        <v>52</v>
      </c>
      <c r="I12" s="291"/>
      <c r="J12" s="289" t="s">
        <v>53</v>
      </c>
      <c r="K12" s="290"/>
      <c r="L12" s="289" t="s">
        <v>43</v>
      </c>
      <c r="M12" s="290"/>
      <c r="N12" s="292" t="s">
        <v>49</v>
      </c>
      <c r="O12" s="293"/>
      <c r="P12" s="289" t="s">
        <v>44</v>
      </c>
      <c r="Q12" s="290"/>
      <c r="R12" s="289" t="s">
        <v>45</v>
      </c>
      <c r="S12" s="290"/>
      <c r="T12" s="298" t="s">
        <v>54</v>
      </c>
      <c r="U12" s="298"/>
    </row>
    <row r="13" spans="1:21" s="33" customFormat="1" ht="18" customHeight="1" x14ac:dyDescent="0.5">
      <c r="A13" s="57"/>
      <c r="B13" s="57"/>
      <c r="C13" s="57"/>
      <c r="D13" s="57"/>
      <c r="E13" s="57"/>
      <c r="F13" s="299" t="s">
        <v>137</v>
      </c>
      <c r="G13" s="300"/>
      <c r="H13" s="315" t="s">
        <v>138</v>
      </c>
      <c r="I13" s="315"/>
      <c r="J13" s="299" t="s">
        <v>55</v>
      </c>
      <c r="K13" s="300"/>
      <c r="L13" s="299" t="s">
        <v>138</v>
      </c>
      <c r="M13" s="300"/>
      <c r="N13" s="316" t="s">
        <v>51</v>
      </c>
      <c r="O13" s="317"/>
      <c r="P13" s="299" t="s">
        <v>138</v>
      </c>
      <c r="Q13" s="300"/>
      <c r="R13" s="299" t="s">
        <v>138</v>
      </c>
      <c r="S13" s="300"/>
      <c r="T13" s="313" t="s">
        <v>51</v>
      </c>
      <c r="U13" s="313"/>
    </row>
    <row r="14" spans="1:21" s="34" customFormat="1" ht="3" customHeight="1" x14ac:dyDescent="0.5">
      <c r="A14" s="314"/>
      <c r="B14" s="314"/>
      <c r="C14" s="314"/>
      <c r="D14" s="314"/>
      <c r="E14" s="314"/>
      <c r="F14" s="58"/>
      <c r="G14" s="59"/>
      <c r="H14" s="60"/>
      <c r="I14" s="61"/>
      <c r="J14" s="62"/>
      <c r="K14" s="59"/>
      <c r="L14" s="60"/>
      <c r="M14" s="61"/>
      <c r="N14" s="62"/>
      <c r="O14" s="59"/>
      <c r="P14" s="62"/>
      <c r="Q14" s="61"/>
      <c r="R14" s="62"/>
      <c r="S14" s="59"/>
      <c r="T14" s="60"/>
      <c r="U14" s="61"/>
    </row>
    <row r="15" spans="1:21" s="33" customFormat="1" ht="27" customHeight="1" x14ac:dyDescent="0.5">
      <c r="A15" s="272" t="s">
        <v>202</v>
      </c>
      <c r="B15" s="272"/>
      <c r="C15" s="272"/>
      <c r="D15" s="272"/>
      <c r="E15" s="273"/>
      <c r="F15" s="58">
        <v>106</v>
      </c>
      <c r="G15" s="63"/>
      <c r="H15" s="64">
        <v>85</v>
      </c>
      <c r="I15" s="64"/>
      <c r="J15" s="65">
        <v>18</v>
      </c>
      <c r="K15" s="63"/>
      <c r="L15" s="163">
        <v>0</v>
      </c>
      <c r="M15" s="64"/>
      <c r="N15" s="164">
        <v>0</v>
      </c>
      <c r="O15" s="63"/>
      <c r="P15" s="65">
        <v>53</v>
      </c>
      <c r="Q15" s="64"/>
      <c r="R15" s="65">
        <v>7</v>
      </c>
      <c r="S15" s="63"/>
      <c r="T15" s="163">
        <v>0</v>
      </c>
      <c r="U15" s="64"/>
    </row>
    <row r="16" spans="1:21" s="33" customFormat="1" ht="27" customHeight="1" x14ac:dyDescent="0.5">
      <c r="A16" s="272" t="s">
        <v>203</v>
      </c>
      <c r="B16" s="272"/>
      <c r="C16" s="272"/>
      <c r="D16" s="272"/>
      <c r="E16" s="273"/>
      <c r="F16" s="58">
        <v>106</v>
      </c>
      <c r="G16" s="63"/>
      <c r="H16" s="64">
        <v>85</v>
      </c>
      <c r="I16" s="64"/>
      <c r="J16" s="65">
        <v>18</v>
      </c>
      <c r="K16" s="63"/>
      <c r="L16" s="163">
        <v>0</v>
      </c>
      <c r="M16" s="64"/>
      <c r="N16" s="164">
        <v>0</v>
      </c>
      <c r="O16" s="63"/>
      <c r="P16" s="65">
        <v>53</v>
      </c>
      <c r="Q16" s="64"/>
      <c r="R16" s="65">
        <v>8</v>
      </c>
      <c r="S16" s="63"/>
      <c r="T16" s="163">
        <v>0</v>
      </c>
      <c r="U16" s="64"/>
    </row>
    <row r="17" spans="1:21" s="33" customFormat="1" ht="27" customHeight="1" x14ac:dyDescent="0.5">
      <c r="A17" s="272" t="s">
        <v>204</v>
      </c>
      <c r="B17" s="272"/>
      <c r="C17" s="272"/>
      <c r="D17" s="272"/>
      <c r="E17" s="273"/>
      <c r="F17" s="58">
        <v>106</v>
      </c>
      <c r="G17" s="63"/>
      <c r="H17" s="64">
        <v>85</v>
      </c>
      <c r="I17" s="64"/>
      <c r="J17" s="65">
        <v>18</v>
      </c>
      <c r="K17" s="63"/>
      <c r="L17" s="163">
        <v>0</v>
      </c>
      <c r="M17" s="64"/>
      <c r="N17" s="164">
        <v>0</v>
      </c>
      <c r="O17" s="63"/>
      <c r="P17" s="65">
        <v>53</v>
      </c>
      <c r="Q17" s="64"/>
      <c r="R17" s="65">
        <v>7</v>
      </c>
      <c r="S17" s="63"/>
      <c r="T17" s="163">
        <v>0</v>
      </c>
      <c r="U17" s="64"/>
    </row>
    <row r="18" spans="1:21" s="33" customFormat="1" ht="27" customHeight="1" x14ac:dyDescent="0.5">
      <c r="A18" s="272" t="s">
        <v>205</v>
      </c>
      <c r="B18" s="272"/>
      <c r="C18" s="272"/>
      <c r="D18" s="272"/>
      <c r="E18" s="273"/>
      <c r="F18" s="58">
        <v>106</v>
      </c>
      <c r="G18" s="63"/>
      <c r="H18" s="64">
        <v>85</v>
      </c>
      <c r="I18" s="64"/>
      <c r="J18" s="65">
        <v>18</v>
      </c>
      <c r="K18" s="63"/>
      <c r="L18" s="163">
        <v>0</v>
      </c>
      <c r="M18" s="64"/>
      <c r="N18" s="164">
        <v>0</v>
      </c>
      <c r="O18" s="63"/>
      <c r="P18" s="65">
        <v>53</v>
      </c>
      <c r="Q18" s="64"/>
      <c r="R18" s="65">
        <v>7</v>
      </c>
      <c r="S18" s="63"/>
      <c r="T18" s="163">
        <v>0</v>
      </c>
      <c r="U18" s="64"/>
    </row>
    <row r="19" spans="1:21" s="33" customFormat="1" ht="27" customHeight="1" x14ac:dyDescent="0.5">
      <c r="A19" s="272" t="s">
        <v>206</v>
      </c>
      <c r="B19" s="272"/>
      <c r="C19" s="272"/>
      <c r="D19" s="272"/>
      <c r="E19" s="273"/>
      <c r="F19" s="58">
        <v>267</v>
      </c>
      <c r="G19" s="63"/>
      <c r="H19" s="64">
        <v>81</v>
      </c>
      <c r="I19" s="64"/>
      <c r="J19" s="65">
        <v>24</v>
      </c>
      <c r="K19" s="63"/>
      <c r="L19" s="163">
        <v>0</v>
      </c>
      <c r="M19" s="64"/>
      <c r="N19" s="164">
        <v>0</v>
      </c>
      <c r="O19" s="63"/>
      <c r="P19" s="65">
        <v>67</v>
      </c>
      <c r="Q19" s="64"/>
      <c r="R19" s="65">
        <v>5</v>
      </c>
      <c r="S19" s="63"/>
      <c r="T19" s="163">
        <v>0</v>
      </c>
      <c r="U19" s="64"/>
    </row>
    <row r="20" spans="1:21" s="33" customFormat="1" ht="27" customHeight="1" x14ac:dyDescent="0.5">
      <c r="A20" s="272" t="s">
        <v>207</v>
      </c>
      <c r="B20" s="272"/>
      <c r="C20" s="272"/>
      <c r="D20" s="272"/>
      <c r="E20" s="273"/>
      <c r="F20" s="58">
        <v>228</v>
      </c>
      <c r="G20" s="63"/>
      <c r="H20" s="64">
        <v>77</v>
      </c>
      <c r="I20" s="64"/>
      <c r="J20" s="65">
        <v>23</v>
      </c>
      <c r="K20" s="63"/>
      <c r="L20" s="163">
        <v>0</v>
      </c>
      <c r="M20" s="64"/>
      <c r="N20" s="164">
        <v>0</v>
      </c>
      <c r="O20" s="63"/>
      <c r="P20" s="65">
        <v>64</v>
      </c>
      <c r="Q20" s="64"/>
      <c r="R20" s="65">
        <v>5</v>
      </c>
      <c r="S20" s="63"/>
      <c r="T20" s="163">
        <v>0</v>
      </c>
      <c r="U20" s="64"/>
    </row>
    <row r="21" spans="1:21" s="33" customFormat="1" ht="27" customHeight="1" x14ac:dyDescent="0.5">
      <c r="A21" s="272" t="s">
        <v>208</v>
      </c>
      <c r="B21" s="272"/>
      <c r="C21" s="272"/>
      <c r="D21" s="272"/>
      <c r="E21" s="273"/>
      <c r="F21" s="58">
        <v>254</v>
      </c>
      <c r="G21" s="63"/>
      <c r="H21" s="64">
        <v>77</v>
      </c>
      <c r="I21" s="64"/>
      <c r="J21" s="65">
        <v>24</v>
      </c>
      <c r="K21" s="63"/>
      <c r="L21" s="163">
        <v>0</v>
      </c>
      <c r="M21" s="64"/>
      <c r="N21" s="164">
        <v>0</v>
      </c>
      <c r="O21" s="63"/>
      <c r="P21" s="65">
        <v>66</v>
      </c>
      <c r="Q21" s="64"/>
      <c r="R21" s="65">
        <v>5</v>
      </c>
      <c r="S21" s="63"/>
      <c r="T21" s="163">
        <v>0</v>
      </c>
      <c r="U21" s="64"/>
    </row>
    <row r="22" spans="1:21" s="33" customFormat="1" ht="27" customHeight="1" x14ac:dyDescent="0.5">
      <c r="A22" s="272" t="s">
        <v>209</v>
      </c>
      <c r="B22" s="272"/>
      <c r="C22" s="272"/>
      <c r="D22" s="272"/>
      <c r="E22" s="273"/>
      <c r="F22" s="58">
        <v>242</v>
      </c>
      <c r="G22" s="63"/>
      <c r="H22" s="64">
        <v>74</v>
      </c>
      <c r="I22" s="64"/>
      <c r="J22" s="65">
        <v>23</v>
      </c>
      <c r="K22" s="63"/>
      <c r="L22" s="64">
        <v>0</v>
      </c>
      <c r="M22" s="64"/>
      <c r="N22" s="65">
        <v>0</v>
      </c>
      <c r="O22" s="63"/>
      <c r="P22" s="65">
        <v>68</v>
      </c>
      <c r="Q22" s="64"/>
      <c r="R22" s="65">
        <v>4</v>
      </c>
      <c r="S22" s="63"/>
      <c r="T22" s="64">
        <v>0</v>
      </c>
      <c r="U22" s="64"/>
    </row>
    <row r="23" spans="1:21" s="33" customFormat="1" ht="3" customHeight="1" x14ac:dyDescent="0.5">
      <c r="A23" s="35"/>
      <c r="B23" s="35"/>
      <c r="C23" s="35"/>
      <c r="D23" s="35"/>
      <c r="E23" s="35"/>
      <c r="F23" s="36"/>
      <c r="G23" s="37"/>
      <c r="H23" s="38"/>
      <c r="I23" s="38"/>
      <c r="J23" s="39"/>
      <c r="K23" s="40"/>
      <c r="L23" s="41"/>
      <c r="M23" s="41"/>
      <c r="N23" s="39"/>
      <c r="O23" s="40"/>
      <c r="P23" s="41"/>
      <c r="Q23" s="41"/>
      <c r="R23" s="39"/>
      <c r="S23" s="40"/>
      <c r="T23" s="41"/>
      <c r="U23" s="41"/>
    </row>
    <row r="24" spans="1:21" s="33" customFormat="1" ht="3" customHeight="1" x14ac:dyDescent="0.5">
      <c r="A24" s="42"/>
      <c r="B24" s="42"/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3"/>
      <c r="P24" s="43"/>
      <c r="Q24" s="44"/>
    </row>
    <row r="25" spans="1:21" s="33" customFormat="1" ht="18" customHeight="1" x14ac:dyDescent="0.25">
      <c r="A25" s="35"/>
      <c r="B25" s="35"/>
      <c r="C25" s="45" t="s">
        <v>129</v>
      </c>
      <c r="D25" s="46" t="s">
        <v>249</v>
      </c>
      <c r="E25" s="35"/>
      <c r="F25" s="35"/>
      <c r="G25" s="35"/>
      <c r="H25" s="35"/>
      <c r="I25" s="35"/>
      <c r="J25" s="44"/>
      <c r="K25" s="44"/>
      <c r="L25" s="44"/>
      <c r="M25" s="44"/>
      <c r="N25" s="44"/>
      <c r="O25" s="44"/>
      <c r="P25" s="44"/>
      <c r="Q25" s="44"/>
    </row>
    <row r="26" spans="1:21" s="33" customFormat="1" ht="18" customHeight="1" x14ac:dyDescent="0.25">
      <c r="A26" s="35"/>
      <c r="B26" s="35"/>
      <c r="C26" s="45" t="s">
        <v>130</v>
      </c>
      <c r="D26" s="46" t="s">
        <v>250</v>
      </c>
      <c r="E26" s="35"/>
      <c r="F26" s="35"/>
      <c r="G26" s="35"/>
      <c r="H26" s="35"/>
      <c r="I26" s="35"/>
      <c r="J26" s="44"/>
      <c r="K26" s="44"/>
      <c r="L26" s="44"/>
      <c r="M26" s="44"/>
      <c r="N26" s="44"/>
      <c r="O26" s="44"/>
      <c r="P26" s="44"/>
      <c r="Q26" s="44"/>
    </row>
    <row r="27" spans="1:21" s="33" customFormat="1" ht="18" customHeight="1" x14ac:dyDescent="0.25">
      <c r="A27" s="46"/>
      <c r="B27" s="46"/>
      <c r="C27" s="47" t="s">
        <v>74</v>
      </c>
      <c r="D27" s="46" t="s">
        <v>73</v>
      </c>
      <c r="E27" s="46"/>
      <c r="F27" s="46"/>
      <c r="G27" s="35"/>
      <c r="H27" s="35"/>
      <c r="I27" s="35"/>
      <c r="J27" s="44"/>
      <c r="K27" s="44"/>
      <c r="L27" s="44"/>
      <c r="M27" s="44"/>
      <c r="N27" s="44"/>
      <c r="O27" s="44"/>
      <c r="P27" s="44"/>
      <c r="Q27" s="44"/>
    </row>
    <row r="28" spans="1:21" s="33" customFormat="1" ht="18" customHeight="1" x14ac:dyDescent="0.25">
      <c r="A28" s="46"/>
      <c r="B28" s="46"/>
      <c r="C28" s="47" t="s">
        <v>72</v>
      </c>
      <c r="D28" s="46" t="s">
        <v>71</v>
      </c>
      <c r="E28" s="46"/>
      <c r="F28" s="46"/>
      <c r="G28" s="35"/>
      <c r="H28" s="35"/>
      <c r="I28" s="35"/>
      <c r="J28" s="44"/>
      <c r="K28" s="44"/>
      <c r="L28" s="44"/>
      <c r="M28" s="44"/>
      <c r="N28" s="44"/>
      <c r="O28" s="44"/>
      <c r="P28" s="44"/>
      <c r="Q28" s="44"/>
    </row>
    <row r="29" spans="1:21" s="33" customFormat="1" ht="18" customHeight="1" x14ac:dyDescent="0.25">
      <c r="A29" s="35"/>
      <c r="B29" s="35"/>
      <c r="C29" s="45"/>
      <c r="D29" s="46"/>
      <c r="E29" s="35"/>
      <c r="F29" s="35"/>
      <c r="G29" s="35"/>
      <c r="H29" s="35"/>
      <c r="I29" s="35"/>
      <c r="J29" s="44"/>
      <c r="K29" s="44"/>
      <c r="L29" s="44"/>
      <c r="M29" s="44"/>
      <c r="N29" s="44"/>
      <c r="O29" s="44"/>
      <c r="P29" s="44"/>
      <c r="Q29" s="44"/>
    </row>
    <row r="30" spans="1:21" s="46" customFormat="1" ht="18" customHeight="1" x14ac:dyDescent="0.25"/>
    <row r="31" spans="1:21" s="46" customFormat="1" ht="18" customHeight="1" x14ac:dyDescent="0.25"/>
    <row r="32" spans="1:21" s="46" customFormat="1" x14ac:dyDescent="0.25"/>
    <row r="33" spans="3:3" x14ac:dyDescent="0.5">
      <c r="C33" s="49"/>
    </row>
  </sheetData>
  <mergeCells count="79">
    <mergeCell ref="A20:E20"/>
    <mergeCell ref="J12:K12"/>
    <mergeCell ref="R12:S12"/>
    <mergeCell ref="A22:E22"/>
    <mergeCell ref="A15:E15"/>
    <mergeCell ref="A14:E14"/>
    <mergeCell ref="A16:E16"/>
    <mergeCell ref="A21:E21"/>
    <mergeCell ref="H13:I13"/>
    <mergeCell ref="J13:K13"/>
    <mergeCell ref="H12:I12"/>
    <mergeCell ref="F12:G12"/>
    <mergeCell ref="F13:G13"/>
    <mergeCell ref="L12:M12"/>
    <mergeCell ref="L13:M13"/>
    <mergeCell ref="N13:O13"/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F9:G9"/>
    <mergeCell ref="F8:G8"/>
    <mergeCell ref="H11:I11"/>
    <mergeCell ref="L10:M10"/>
    <mergeCell ref="J10:K10"/>
    <mergeCell ref="J11:K11"/>
    <mergeCell ref="L11:M11"/>
    <mergeCell ref="A17:E17"/>
    <mergeCell ref="A18:E18"/>
    <mergeCell ref="A19:E19"/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P13:Q13"/>
    <mergeCell ref="F11:G11"/>
  </mergeCells>
  <phoneticPr fontId="4" type="noConversion"/>
  <printOptions gridLinesSet="0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"/>
  <sheetViews>
    <sheetView showGridLines="0" view="pageBreakPreview" topLeftCell="A10" zoomScaleSheetLayoutView="100" workbookViewId="0">
      <selection activeCell="AC22" sqref="AC22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9.28515625" style="86" customWidth="1"/>
    <col min="6" max="6" width="11.140625" style="86" customWidth="1"/>
    <col min="7" max="7" width="8.28515625" style="86" customWidth="1"/>
    <col min="8" max="8" width="1" style="86" customWidth="1"/>
    <col min="9" max="9" width="8.28515625" style="86" customWidth="1"/>
    <col min="10" max="10" width="1" style="86" customWidth="1"/>
    <col min="11" max="11" width="8.28515625" style="86" customWidth="1"/>
    <col min="12" max="12" width="1" style="86" customWidth="1"/>
    <col min="13" max="13" width="8.7109375" style="86" customWidth="1"/>
    <col min="14" max="14" width="1" style="86" customWidth="1"/>
    <col min="15" max="15" width="8.28515625" style="86" customWidth="1"/>
    <col min="16" max="16" width="1" style="86" customWidth="1"/>
    <col min="17" max="17" width="8.28515625" style="70" customWidth="1"/>
    <col min="18" max="18" width="1" style="70" customWidth="1"/>
    <col min="19" max="19" width="8.28515625" style="70" customWidth="1"/>
    <col min="20" max="20" width="1" style="70" customWidth="1"/>
    <col min="21" max="22" width="0.85546875" style="70" customWidth="1"/>
    <col min="23" max="23" width="1" style="86" customWidth="1"/>
    <col min="24" max="24" width="30.7109375" style="86" customWidth="1"/>
    <col min="25" max="25" width="2.28515625" style="86" customWidth="1"/>
    <col min="26" max="26" width="4.5703125" style="70" customWidth="1"/>
    <col min="27" max="16384" width="9.140625" style="86"/>
  </cols>
  <sheetData>
    <row r="1" spans="1:26" s="5" customFormat="1" ht="21.75" customHeight="1" x14ac:dyDescent="0.3">
      <c r="A1" s="1" t="s">
        <v>0</v>
      </c>
      <c r="D1" s="78">
        <v>14.7</v>
      </c>
      <c r="E1" s="1" t="s">
        <v>251</v>
      </c>
      <c r="Q1" s="7"/>
      <c r="R1" s="7"/>
      <c r="S1" s="7"/>
      <c r="T1" s="7"/>
      <c r="U1" s="7"/>
      <c r="V1" s="7"/>
      <c r="Z1" s="7"/>
    </row>
    <row r="2" spans="1:26" s="5" customFormat="1" ht="18.75" customHeight="1" x14ac:dyDescent="0.3">
      <c r="A2" s="1" t="s">
        <v>75</v>
      </c>
      <c r="D2" s="78">
        <v>14.7</v>
      </c>
      <c r="E2" s="79" t="s">
        <v>252</v>
      </c>
      <c r="Z2" s="7"/>
    </row>
    <row r="3" spans="1:26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 t="s">
        <v>142</v>
      </c>
      <c r="Y3" s="83"/>
    </row>
    <row r="4" spans="1:26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18" customHeight="1" x14ac:dyDescent="0.25">
      <c r="A5" s="320" t="s">
        <v>143</v>
      </c>
      <c r="B5" s="320"/>
      <c r="C5" s="320"/>
      <c r="D5" s="320"/>
      <c r="E5" s="320"/>
      <c r="F5" s="85"/>
      <c r="G5" s="324" t="s">
        <v>144</v>
      </c>
      <c r="H5" s="324"/>
      <c r="I5" s="324"/>
      <c r="J5" s="324"/>
      <c r="K5" s="324"/>
      <c r="L5" s="324"/>
      <c r="M5" s="324"/>
      <c r="N5" s="325"/>
      <c r="O5" s="324" t="s">
        <v>145</v>
      </c>
      <c r="P5" s="324"/>
      <c r="Q5" s="324"/>
      <c r="R5" s="324"/>
      <c r="S5" s="324"/>
      <c r="T5" s="325"/>
      <c r="U5" s="71"/>
      <c r="V5" s="71"/>
      <c r="W5" s="320" t="s">
        <v>146</v>
      </c>
      <c r="X5" s="320"/>
      <c r="Y5" s="73"/>
      <c r="Z5" s="73"/>
    </row>
    <row r="6" spans="1:26" ht="19.5" customHeight="1" x14ac:dyDescent="0.25">
      <c r="A6" s="321"/>
      <c r="B6" s="321"/>
      <c r="C6" s="321"/>
      <c r="D6" s="321"/>
      <c r="E6" s="322"/>
      <c r="F6" s="88" t="s">
        <v>147</v>
      </c>
      <c r="G6" s="326" t="s">
        <v>148</v>
      </c>
      <c r="H6" s="326"/>
      <c r="I6" s="326"/>
      <c r="J6" s="326"/>
      <c r="K6" s="326"/>
      <c r="L6" s="326"/>
      <c r="M6" s="326"/>
      <c r="N6" s="327"/>
      <c r="O6" s="326" t="s">
        <v>149</v>
      </c>
      <c r="P6" s="326"/>
      <c r="Q6" s="326"/>
      <c r="R6" s="326"/>
      <c r="S6" s="326"/>
      <c r="T6" s="327"/>
      <c r="U6" s="73"/>
      <c r="V6" s="73"/>
      <c r="W6" s="322"/>
      <c r="X6" s="321"/>
      <c r="Y6" s="87"/>
    </row>
    <row r="7" spans="1:26" ht="15.75" customHeight="1" x14ac:dyDescent="0.25">
      <c r="A7" s="321"/>
      <c r="B7" s="321"/>
      <c r="C7" s="321"/>
      <c r="D7" s="321"/>
      <c r="E7" s="322"/>
      <c r="F7" s="76" t="s">
        <v>150</v>
      </c>
      <c r="G7" s="328" t="s">
        <v>253</v>
      </c>
      <c r="H7" s="329"/>
      <c r="I7" s="328" t="s">
        <v>254</v>
      </c>
      <c r="J7" s="329"/>
      <c r="K7" s="328" t="s">
        <v>255</v>
      </c>
      <c r="L7" s="329"/>
      <c r="M7" s="328" t="s">
        <v>256</v>
      </c>
      <c r="N7" s="329"/>
      <c r="O7" s="328" t="s">
        <v>254</v>
      </c>
      <c r="P7" s="329"/>
      <c r="Q7" s="328" t="s">
        <v>255</v>
      </c>
      <c r="R7" s="329"/>
      <c r="S7" s="328" t="s">
        <v>256</v>
      </c>
      <c r="T7" s="329"/>
      <c r="W7" s="322"/>
      <c r="X7" s="321"/>
      <c r="Y7" s="87"/>
    </row>
    <row r="8" spans="1:26" ht="15.75" customHeight="1" x14ac:dyDescent="0.25">
      <c r="A8" s="323"/>
      <c r="B8" s="323"/>
      <c r="C8" s="323"/>
      <c r="D8" s="323"/>
      <c r="E8" s="323"/>
      <c r="F8" s="89" t="s">
        <v>151</v>
      </c>
      <c r="G8" s="318" t="s">
        <v>260</v>
      </c>
      <c r="H8" s="319"/>
      <c r="I8" s="318" t="s">
        <v>259</v>
      </c>
      <c r="J8" s="319"/>
      <c r="K8" s="318" t="s">
        <v>258</v>
      </c>
      <c r="L8" s="319"/>
      <c r="M8" s="318" t="s">
        <v>257</v>
      </c>
      <c r="N8" s="319"/>
      <c r="O8" s="318" t="s">
        <v>259</v>
      </c>
      <c r="P8" s="319"/>
      <c r="Q8" s="318" t="s">
        <v>258</v>
      </c>
      <c r="R8" s="319"/>
      <c r="S8" s="318" t="s">
        <v>257</v>
      </c>
      <c r="T8" s="319"/>
      <c r="U8" s="90"/>
      <c r="V8" s="90"/>
      <c r="W8" s="323"/>
      <c r="X8" s="323"/>
      <c r="Y8" s="87"/>
    </row>
    <row r="9" spans="1:26" s="99" customFormat="1" ht="2.25" customHeight="1" x14ac:dyDescent="0.25">
      <c r="A9" s="91"/>
      <c r="B9" s="91"/>
      <c r="C9" s="91"/>
      <c r="D9" s="91"/>
      <c r="E9" s="91"/>
      <c r="F9" s="92"/>
      <c r="G9" s="93"/>
      <c r="H9" s="94"/>
      <c r="I9" s="95"/>
      <c r="J9" s="96"/>
      <c r="K9" s="95"/>
      <c r="L9" s="97"/>
      <c r="M9" s="98"/>
      <c r="N9" s="96"/>
      <c r="O9" s="97"/>
      <c r="P9" s="97"/>
      <c r="Q9" s="98"/>
      <c r="R9" s="96"/>
      <c r="S9" s="98"/>
      <c r="T9" s="96"/>
      <c r="U9" s="97"/>
      <c r="V9" s="97"/>
      <c r="W9" s="87"/>
      <c r="X9" s="87"/>
      <c r="Y9" s="91"/>
      <c r="Z9" s="97"/>
    </row>
    <row r="10" spans="1:26" s="108" customFormat="1" ht="16.5" customHeight="1" x14ac:dyDescent="0.25">
      <c r="A10" s="100" t="s">
        <v>152</v>
      </c>
      <c r="B10" s="101"/>
      <c r="C10" s="101"/>
      <c r="D10" s="101"/>
      <c r="E10" s="101"/>
      <c r="F10" s="102">
        <v>100</v>
      </c>
      <c r="G10" s="103">
        <v>100.67</v>
      </c>
      <c r="H10" s="104"/>
      <c r="I10" s="103">
        <v>100</v>
      </c>
      <c r="J10" s="103"/>
      <c r="K10" s="105">
        <v>101.058333333333</v>
      </c>
      <c r="L10" s="103"/>
      <c r="M10" s="105">
        <v>100.45</v>
      </c>
      <c r="N10" s="104"/>
      <c r="O10" s="195">
        <v>-0.66</v>
      </c>
      <c r="P10" s="196"/>
      <c r="Q10" s="195">
        <v>1.05833333333334</v>
      </c>
      <c r="R10" s="104"/>
      <c r="S10" s="105">
        <v>0.61</v>
      </c>
      <c r="T10" s="104"/>
      <c r="U10" s="127" t="s">
        <v>153</v>
      </c>
      <c r="V10" s="127"/>
      <c r="W10" s="128"/>
      <c r="X10" s="127"/>
      <c r="Y10" s="66"/>
      <c r="Z10" s="70"/>
    </row>
    <row r="11" spans="1:26" s="108" customFormat="1" ht="2.25" customHeight="1" x14ac:dyDescent="0.25">
      <c r="A11" s="100"/>
      <c r="B11" s="101"/>
      <c r="C11" s="101"/>
      <c r="D11" s="101"/>
      <c r="E11" s="101"/>
      <c r="F11" s="102"/>
      <c r="G11" s="103"/>
      <c r="H11" s="104"/>
      <c r="I11" s="103"/>
      <c r="J11" s="103"/>
      <c r="K11" s="105"/>
      <c r="L11" s="103"/>
      <c r="M11" s="105"/>
      <c r="N11" s="104"/>
      <c r="O11" s="195"/>
      <c r="P11" s="196"/>
      <c r="Q11" s="195"/>
      <c r="R11" s="104"/>
      <c r="S11" s="105"/>
      <c r="T11" s="104"/>
      <c r="U11" s="129"/>
      <c r="V11" s="129"/>
      <c r="W11" s="130"/>
      <c r="X11" s="130"/>
      <c r="Y11" s="66"/>
      <c r="Z11" s="70"/>
    </row>
    <row r="12" spans="1:26" ht="16.5" customHeight="1" x14ac:dyDescent="0.25">
      <c r="A12" s="99"/>
      <c r="B12" s="101" t="s">
        <v>154</v>
      </c>
      <c r="C12" s="109"/>
      <c r="D12" s="109"/>
      <c r="E12" s="109"/>
      <c r="F12" s="102">
        <v>43.46</v>
      </c>
      <c r="G12" s="103">
        <v>98.88</v>
      </c>
      <c r="H12" s="104"/>
      <c r="I12" s="194">
        <v>99.96</v>
      </c>
      <c r="J12" s="103"/>
      <c r="K12" s="105">
        <v>102.65</v>
      </c>
      <c r="L12" s="103"/>
      <c r="M12" s="105">
        <v>101.53</v>
      </c>
      <c r="N12" s="104"/>
      <c r="O12" s="195">
        <v>1.1000000000000001</v>
      </c>
      <c r="P12" s="196"/>
      <c r="Q12" s="195">
        <v>2.6927886619424601</v>
      </c>
      <c r="R12" s="104"/>
      <c r="S12" s="105">
        <v>-1.0900000000000001</v>
      </c>
      <c r="T12" s="112"/>
      <c r="U12" s="131"/>
      <c r="V12" s="131"/>
      <c r="W12" s="132" t="s">
        <v>155</v>
      </c>
      <c r="X12" s="128"/>
      <c r="Y12" s="70"/>
    </row>
    <row r="13" spans="1:26" ht="16.5" customHeight="1" x14ac:dyDescent="0.25">
      <c r="A13" s="99"/>
      <c r="B13" s="109"/>
      <c r="C13" s="109" t="s">
        <v>156</v>
      </c>
      <c r="D13" s="109"/>
      <c r="E13" s="109"/>
      <c r="F13" s="110">
        <v>7.63</v>
      </c>
      <c r="G13" s="111">
        <v>101</v>
      </c>
      <c r="H13" s="112"/>
      <c r="I13" s="200">
        <v>99.98</v>
      </c>
      <c r="J13" s="111"/>
      <c r="K13" s="113">
        <v>101.02500000000001</v>
      </c>
      <c r="L13" s="111"/>
      <c r="M13" s="113">
        <v>90.67</v>
      </c>
      <c r="N13" s="112"/>
      <c r="O13" s="199">
        <v>-1.01</v>
      </c>
      <c r="P13" s="198"/>
      <c r="Q13" s="199">
        <v>1.05026256564139</v>
      </c>
      <c r="R13" s="112"/>
      <c r="S13" s="113">
        <v>-10.25</v>
      </c>
      <c r="T13" s="112"/>
      <c r="U13" s="131"/>
      <c r="V13" s="131"/>
      <c r="W13" s="133"/>
      <c r="X13" s="133" t="s">
        <v>157</v>
      </c>
      <c r="Y13" s="70"/>
    </row>
    <row r="14" spans="1:26" ht="16.5" customHeight="1" x14ac:dyDescent="0.25">
      <c r="A14" s="99"/>
      <c r="B14" s="109"/>
      <c r="C14" s="109" t="s">
        <v>158</v>
      </c>
      <c r="D14" s="109"/>
      <c r="E14" s="109"/>
      <c r="F14" s="110">
        <v>11.09</v>
      </c>
      <c r="G14" s="111">
        <v>99.85</v>
      </c>
      <c r="H14" s="112"/>
      <c r="I14" s="200">
        <v>99.98</v>
      </c>
      <c r="J14" s="111"/>
      <c r="K14" s="113">
        <v>101.625</v>
      </c>
      <c r="L14" s="111"/>
      <c r="M14" s="113">
        <v>105.58</v>
      </c>
      <c r="N14" s="112"/>
      <c r="O14" s="199">
        <v>0.13</v>
      </c>
      <c r="P14" s="198"/>
      <c r="Q14" s="199">
        <v>1.6419403233872401</v>
      </c>
      <c r="R14" s="112"/>
      <c r="S14" s="113">
        <v>3.89</v>
      </c>
      <c r="T14" s="112"/>
      <c r="U14" s="131"/>
      <c r="V14" s="131"/>
      <c r="W14" s="133"/>
      <c r="X14" s="133" t="s">
        <v>159</v>
      </c>
      <c r="Y14" s="70"/>
    </row>
    <row r="15" spans="1:26" ht="16.5" customHeight="1" x14ac:dyDescent="0.25">
      <c r="A15" s="99"/>
      <c r="B15" s="109"/>
      <c r="C15" s="109" t="s">
        <v>160</v>
      </c>
      <c r="D15" s="109"/>
      <c r="E15" s="109"/>
      <c r="F15" s="110">
        <v>2.95</v>
      </c>
      <c r="G15" s="111">
        <v>106.13</v>
      </c>
      <c r="H15" s="112"/>
      <c r="I15" s="200">
        <v>100.03</v>
      </c>
      <c r="J15" s="111"/>
      <c r="K15" s="113">
        <v>103.716666666667</v>
      </c>
      <c r="L15" s="111"/>
      <c r="M15" s="113">
        <v>100.19</v>
      </c>
      <c r="N15" s="112"/>
      <c r="O15" s="199">
        <v>-5.75</v>
      </c>
      <c r="P15" s="198"/>
      <c r="Q15" s="199">
        <v>3.6907439806714701</v>
      </c>
      <c r="R15" s="112"/>
      <c r="S15" s="113">
        <v>-3.4</v>
      </c>
      <c r="T15" s="112"/>
      <c r="U15" s="131"/>
      <c r="V15" s="131"/>
      <c r="W15" s="133"/>
      <c r="X15" s="133" t="s">
        <v>161</v>
      </c>
      <c r="Y15" s="70"/>
    </row>
    <row r="16" spans="1:26" ht="16.5" customHeight="1" x14ac:dyDescent="0.25">
      <c r="A16" s="99"/>
      <c r="B16" s="109"/>
      <c r="C16" s="109" t="s">
        <v>162</v>
      </c>
      <c r="D16" s="109"/>
      <c r="E16" s="109"/>
      <c r="F16" s="110">
        <v>6.67</v>
      </c>
      <c r="G16" s="111">
        <v>99.08</v>
      </c>
      <c r="H16" s="112"/>
      <c r="I16" s="200">
        <v>100</v>
      </c>
      <c r="J16" s="111"/>
      <c r="K16" s="113">
        <v>107.816666666667</v>
      </c>
      <c r="L16" s="111"/>
      <c r="M16" s="113">
        <v>100.16</v>
      </c>
      <c r="N16" s="112"/>
      <c r="O16" s="199">
        <v>0.93</v>
      </c>
      <c r="P16" s="198"/>
      <c r="Q16" s="199">
        <v>7.8166666666666602</v>
      </c>
      <c r="R16" s="112"/>
      <c r="S16" s="113">
        <v>-7.1</v>
      </c>
      <c r="T16" s="112"/>
      <c r="U16" s="131"/>
      <c r="V16" s="131"/>
      <c r="W16" s="133"/>
      <c r="X16" s="133" t="s">
        <v>163</v>
      </c>
      <c r="Y16" s="70"/>
    </row>
    <row r="17" spans="1:25" ht="16.5" customHeight="1" x14ac:dyDescent="0.25">
      <c r="A17" s="99"/>
      <c r="B17" s="109"/>
      <c r="C17" s="109" t="s">
        <v>164</v>
      </c>
      <c r="D17" s="109"/>
      <c r="E17" s="109"/>
      <c r="F17" s="110">
        <v>1.42</v>
      </c>
      <c r="G17" s="111">
        <v>98.24</v>
      </c>
      <c r="H17" s="112"/>
      <c r="I17" s="200">
        <v>99.98</v>
      </c>
      <c r="J17" s="111"/>
      <c r="K17" s="113">
        <v>103.591666666667</v>
      </c>
      <c r="L17" s="111"/>
      <c r="M17" s="113">
        <v>106.13</v>
      </c>
      <c r="N17" s="112"/>
      <c r="O17" s="199">
        <v>1.76</v>
      </c>
      <c r="P17" s="198"/>
      <c r="Q17" s="199">
        <v>3.6175710594315298</v>
      </c>
      <c r="R17" s="112"/>
      <c r="S17" s="113">
        <v>2.4500000000000002</v>
      </c>
      <c r="T17" s="112"/>
      <c r="U17" s="131"/>
      <c r="V17" s="131"/>
      <c r="W17" s="133"/>
      <c r="X17" s="133" t="s">
        <v>165</v>
      </c>
      <c r="Y17" s="70"/>
    </row>
    <row r="18" spans="1:25" ht="16.5" customHeight="1" x14ac:dyDescent="0.25">
      <c r="A18" s="99"/>
      <c r="B18" s="109"/>
      <c r="C18" s="109" t="s">
        <v>166</v>
      </c>
      <c r="D18" s="109"/>
      <c r="E18" s="109"/>
      <c r="F18" s="110">
        <v>0.93</v>
      </c>
      <c r="G18" s="111">
        <v>99.84</v>
      </c>
      <c r="H18" s="111"/>
      <c r="I18" s="199">
        <v>100.01</v>
      </c>
      <c r="J18" s="111"/>
      <c r="K18" s="113">
        <v>100.3</v>
      </c>
      <c r="L18" s="111"/>
      <c r="M18" s="113">
        <v>98.49</v>
      </c>
      <c r="N18" s="112"/>
      <c r="O18" s="199">
        <v>0.17</v>
      </c>
      <c r="P18" s="198"/>
      <c r="Q18" s="199">
        <v>0.29164236313641001</v>
      </c>
      <c r="R18" s="112"/>
      <c r="S18" s="113">
        <v>-1.8</v>
      </c>
      <c r="T18" s="112"/>
      <c r="U18" s="131"/>
      <c r="V18" s="131"/>
      <c r="W18" s="133"/>
      <c r="X18" s="133" t="s">
        <v>167</v>
      </c>
      <c r="Y18" s="70"/>
    </row>
    <row r="19" spans="1:25" ht="15.75" customHeight="1" x14ac:dyDescent="0.25">
      <c r="A19" s="99"/>
      <c r="B19" s="109"/>
      <c r="C19" s="109" t="s">
        <v>168</v>
      </c>
      <c r="D19" s="109"/>
      <c r="E19" s="109"/>
      <c r="F19" s="110">
        <v>7.42</v>
      </c>
      <c r="G19" s="111">
        <v>96.03</v>
      </c>
      <c r="H19" s="111"/>
      <c r="I19" s="199">
        <v>99.96</v>
      </c>
      <c r="J19" s="111"/>
      <c r="K19" s="113">
        <v>102.1</v>
      </c>
      <c r="L19" s="111"/>
      <c r="M19" s="113">
        <v>103.91</v>
      </c>
      <c r="N19" s="112"/>
      <c r="O19" s="199">
        <v>4.09</v>
      </c>
      <c r="P19" s="198"/>
      <c r="Q19" s="199">
        <v>2.1425593997499099</v>
      </c>
      <c r="R19" s="112"/>
      <c r="S19" s="113">
        <v>1.78</v>
      </c>
      <c r="T19" s="112"/>
      <c r="U19" s="131"/>
      <c r="V19" s="131"/>
      <c r="W19" s="133"/>
      <c r="X19" s="133" t="s">
        <v>169</v>
      </c>
      <c r="Y19" s="70"/>
    </row>
    <row r="20" spans="1:25" ht="15.75" customHeight="1" x14ac:dyDescent="0.25">
      <c r="A20" s="99"/>
      <c r="B20" s="109"/>
      <c r="C20" s="109" t="s">
        <v>170</v>
      </c>
      <c r="D20" s="109"/>
      <c r="E20" s="109"/>
      <c r="F20" s="110">
        <v>5.34</v>
      </c>
      <c r="G20" s="111">
        <v>92.59</v>
      </c>
      <c r="H20" s="111"/>
      <c r="I20" s="199">
        <v>100</v>
      </c>
      <c r="J20" s="111"/>
      <c r="K20" s="113">
        <v>100</v>
      </c>
      <c r="L20" s="111"/>
      <c r="M20" s="113">
        <v>99.25</v>
      </c>
      <c r="N20" s="112"/>
      <c r="O20" s="199">
        <v>8</v>
      </c>
      <c r="P20" s="198"/>
      <c r="Q20" s="199">
        <v>0</v>
      </c>
      <c r="R20" s="112"/>
      <c r="S20" s="113">
        <v>-0.75</v>
      </c>
      <c r="T20" s="112"/>
      <c r="U20" s="131"/>
      <c r="V20" s="131"/>
      <c r="W20" s="133"/>
      <c r="X20" s="133" t="s">
        <v>171</v>
      </c>
      <c r="Y20" s="70"/>
    </row>
    <row r="21" spans="1:25" ht="2.25" customHeight="1" x14ac:dyDescent="0.25">
      <c r="A21" s="99"/>
      <c r="B21" s="109"/>
      <c r="C21" s="109"/>
      <c r="D21" s="109"/>
      <c r="E21" s="109"/>
      <c r="F21" s="110"/>
      <c r="G21" s="111"/>
      <c r="H21" s="111"/>
      <c r="I21" s="113"/>
      <c r="J21" s="111"/>
      <c r="K21" s="113"/>
      <c r="L21" s="111"/>
      <c r="M21" s="113"/>
      <c r="N21" s="112"/>
      <c r="O21" s="199"/>
      <c r="P21" s="198"/>
      <c r="Q21" s="200"/>
      <c r="R21" s="112"/>
      <c r="S21" s="111"/>
      <c r="T21" s="112"/>
      <c r="U21" s="131"/>
      <c r="V21" s="131"/>
      <c r="W21" s="133"/>
      <c r="X21" s="133"/>
      <c r="Y21" s="70"/>
    </row>
    <row r="22" spans="1:25" ht="16.5" customHeight="1" x14ac:dyDescent="0.25">
      <c r="A22" s="99"/>
      <c r="B22" s="101" t="s">
        <v>172</v>
      </c>
      <c r="C22" s="109"/>
      <c r="D22" s="109"/>
      <c r="E22" s="109"/>
      <c r="F22" s="102">
        <v>56.54</v>
      </c>
      <c r="G22" s="103">
        <v>102.38</v>
      </c>
      <c r="H22" s="103"/>
      <c r="I22" s="195">
        <v>99.95</v>
      </c>
      <c r="J22" s="103"/>
      <c r="K22" s="105">
        <v>99.35</v>
      </c>
      <c r="L22" s="103"/>
      <c r="M22" s="105">
        <v>99.47</v>
      </c>
      <c r="N22" s="104"/>
      <c r="O22" s="195">
        <v>-2.37</v>
      </c>
      <c r="P22" s="196"/>
      <c r="Q22" s="194">
        <v>-0.60030015007505999</v>
      </c>
      <c r="R22" s="104"/>
      <c r="S22" s="103">
        <v>0.12</v>
      </c>
      <c r="T22" s="112"/>
      <c r="U22" s="128"/>
      <c r="V22" s="127" t="s">
        <v>173</v>
      </c>
      <c r="W22" s="133"/>
      <c r="X22" s="133"/>
      <c r="Y22" s="70"/>
    </row>
    <row r="23" spans="1:25" ht="16.5" customHeight="1" x14ac:dyDescent="0.25">
      <c r="A23" s="99"/>
      <c r="B23" s="109"/>
      <c r="C23" s="109" t="s">
        <v>174</v>
      </c>
      <c r="D23" s="109"/>
      <c r="E23" s="109"/>
      <c r="F23" s="110">
        <v>0.86</v>
      </c>
      <c r="G23" s="111">
        <v>98.94</v>
      </c>
      <c r="H23" s="111"/>
      <c r="I23" s="199">
        <v>100.02</v>
      </c>
      <c r="J23" s="111"/>
      <c r="K23" s="113">
        <v>100.283333333333</v>
      </c>
      <c r="L23" s="111"/>
      <c r="M23" s="113">
        <v>101.38</v>
      </c>
      <c r="N23" s="112"/>
      <c r="O23" s="199">
        <v>1.0900000000000001</v>
      </c>
      <c r="P23" s="198"/>
      <c r="Q23" s="200">
        <v>0.26662222962838</v>
      </c>
      <c r="R23" s="112"/>
      <c r="S23" s="111">
        <v>1.0900000000000001</v>
      </c>
      <c r="T23" s="112"/>
      <c r="U23" s="131"/>
      <c r="V23" s="131"/>
      <c r="W23" s="133"/>
      <c r="X23" s="133" t="s">
        <v>175</v>
      </c>
      <c r="Y23" s="70"/>
    </row>
    <row r="24" spans="1:25" ht="15.75" customHeight="1" x14ac:dyDescent="0.25">
      <c r="A24" s="99"/>
      <c r="B24" s="109"/>
      <c r="C24" s="109" t="s">
        <v>176</v>
      </c>
      <c r="D24" s="109"/>
      <c r="E24" s="109"/>
      <c r="F24" s="110">
        <v>23.5</v>
      </c>
      <c r="G24" s="111">
        <v>98.62</v>
      </c>
      <c r="H24" s="111"/>
      <c r="I24" s="199">
        <v>100.02</v>
      </c>
      <c r="J24" s="111"/>
      <c r="K24" s="113">
        <v>99.65</v>
      </c>
      <c r="L24" s="111"/>
      <c r="M24" s="113">
        <v>97.13</v>
      </c>
      <c r="N24" s="112"/>
      <c r="O24" s="199">
        <v>1.42</v>
      </c>
      <c r="P24" s="198"/>
      <c r="Q24" s="200">
        <v>-0.366605565739065</v>
      </c>
      <c r="R24" s="112"/>
      <c r="S24" s="111">
        <v>-2.5299999999999998</v>
      </c>
      <c r="T24" s="112"/>
      <c r="U24" s="131"/>
      <c r="V24" s="131"/>
      <c r="W24" s="133"/>
      <c r="X24" s="133" t="s">
        <v>177</v>
      </c>
      <c r="Y24" s="70"/>
    </row>
    <row r="25" spans="1:25" ht="15" customHeight="1" x14ac:dyDescent="0.25">
      <c r="A25" s="99"/>
      <c r="B25" s="109"/>
      <c r="C25" s="109" t="s">
        <v>178</v>
      </c>
      <c r="D25" s="109"/>
      <c r="E25" s="109"/>
      <c r="F25" s="110">
        <v>3.94</v>
      </c>
      <c r="G25" s="111">
        <v>95.66</v>
      </c>
      <c r="H25" s="111"/>
      <c r="I25" s="199">
        <v>99.98</v>
      </c>
      <c r="J25" s="111"/>
      <c r="K25" s="113">
        <v>101.883333333333</v>
      </c>
      <c r="L25" s="111"/>
      <c r="M25" s="113">
        <v>102.49</v>
      </c>
      <c r="N25" s="112"/>
      <c r="O25" s="199">
        <v>4.51</v>
      </c>
      <c r="P25" s="198"/>
      <c r="Q25" s="200">
        <v>1.90881053596731</v>
      </c>
      <c r="R25" s="112"/>
      <c r="S25" s="111">
        <v>0.6</v>
      </c>
      <c r="T25" s="112"/>
      <c r="U25" s="131"/>
      <c r="V25" s="131"/>
      <c r="W25" s="133"/>
      <c r="X25" s="133" t="s">
        <v>179</v>
      </c>
      <c r="Y25" s="70"/>
    </row>
    <row r="26" spans="1:25" ht="16.5" customHeight="1" x14ac:dyDescent="0.25">
      <c r="A26" s="99"/>
      <c r="B26" s="109"/>
      <c r="C26" s="109" t="s">
        <v>180</v>
      </c>
      <c r="D26" s="109"/>
      <c r="E26" s="109"/>
      <c r="F26" s="110">
        <v>24.28</v>
      </c>
      <c r="G26" s="111">
        <v>111.02</v>
      </c>
      <c r="H26" s="111"/>
      <c r="I26" s="199">
        <v>99.98</v>
      </c>
      <c r="J26" s="111"/>
      <c r="K26" s="113">
        <v>97.358333333333306</v>
      </c>
      <c r="L26" s="111"/>
      <c r="M26" s="113">
        <v>99.52</v>
      </c>
      <c r="N26" s="112"/>
      <c r="O26" s="199">
        <v>-9.94</v>
      </c>
      <c r="P26" s="198"/>
      <c r="Q26" s="200">
        <v>-2.6254375729288402</v>
      </c>
      <c r="R26" s="112"/>
      <c r="S26" s="111">
        <v>2.2200000000000002</v>
      </c>
      <c r="T26" s="112"/>
      <c r="U26" s="131"/>
      <c r="V26" s="131"/>
      <c r="W26" s="133"/>
      <c r="X26" s="133" t="s">
        <v>181</v>
      </c>
      <c r="Y26" s="70"/>
    </row>
    <row r="27" spans="1:25" ht="15" customHeight="1" x14ac:dyDescent="0.25">
      <c r="A27" s="99"/>
      <c r="B27" s="109"/>
      <c r="C27" s="109" t="s">
        <v>182</v>
      </c>
      <c r="D27" s="109"/>
      <c r="E27" s="109"/>
      <c r="F27" s="110">
        <v>3.38</v>
      </c>
      <c r="G27" s="111">
        <v>101.37</v>
      </c>
      <c r="H27" s="111"/>
      <c r="I27" s="199">
        <v>100.03</v>
      </c>
      <c r="J27" s="111"/>
      <c r="K27" s="113">
        <v>100.308333333333</v>
      </c>
      <c r="L27" s="111"/>
      <c r="M27" s="113">
        <v>100.01</v>
      </c>
      <c r="N27" s="112"/>
      <c r="O27" s="199">
        <v>-1.32</v>
      </c>
      <c r="P27" s="198"/>
      <c r="Q27" s="200">
        <v>0.28326251770390498</v>
      </c>
      <c r="R27" s="112"/>
      <c r="S27" s="111">
        <v>-0.3</v>
      </c>
      <c r="T27" s="112"/>
      <c r="U27" s="131"/>
      <c r="V27" s="131"/>
      <c r="W27" s="133"/>
      <c r="X27" s="133" t="s">
        <v>183</v>
      </c>
      <c r="Y27" s="70"/>
    </row>
    <row r="28" spans="1:25" ht="16.5" customHeight="1" x14ac:dyDescent="0.25">
      <c r="A28" s="99"/>
      <c r="B28" s="109"/>
      <c r="C28" s="109" t="s">
        <v>184</v>
      </c>
      <c r="D28" s="109"/>
      <c r="E28" s="109"/>
      <c r="F28" s="110">
        <v>0.56999999999999995</v>
      </c>
      <c r="G28" s="111">
        <v>99.52</v>
      </c>
      <c r="H28" s="111"/>
      <c r="I28" s="199">
        <v>100.04</v>
      </c>
      <c r="J28" s="111"/>
      <c r="K28" s="113">
        <v>117.2</v>
      </c>
      <c r="L28" s="111"/>
      <c r="M28" s="113">
        <v>113.29</v>
      </c>
      <c r="N28" s="112"/>
      <c r="O28" s="199">
        <v>0.53</v>
      </c>
      <c r="P28" s="198"/>
      <c r="Q28" s="200">
        <v>17.1511870054144</v>
      </c>
      <c r="R28" s="112"/>
      <c r="S28" s="111">
        <v>-3.34</v>
      </c>
      <c r="T28" s="112"/>
      <c r="U28" s="131"/>
      <c r="V28" s="131"/>
      <c r="W28" s="133"/>
      <c r="X28" s="133" t="s">
        <v>185</v>
      </c>
      <c r="Y28" s="70"/>
    </row>
    <row r="29" spans="1:25" ht="2.25" customHeight="1" x14ac:dyDescent="0.25">
      <c r="A29" s="99"/>
      <c r="B29" s="109"/>
      <c r="C29" s="109"/>
      <c r="D29" s="109"/>
      <c r="E29" s="109"/>
      <c r="F29" s="110"/>
      <c r="G29" s="111"/>
      <c r="H29" s="111"/>
      <c r="I29" s="113"/>
      <c r="J29" s="111"/>
      <c r="K29" s="113"/>
      <c r="L29" s="111"/>
      <c r="M29" s="113"/>
      <c r="N29" s="112"/>
      <c r="O29" s="199"/>
      <c r="P29" s="198"/>
      <c r="Q29" s="200"/>
      <c r="R29" s="112"/>
      <c r="S29" s="111"/>
      <c r="T29" s="112"/>
      <c r="U29" s="131"/>
      <c r="V29" s="131"/>
      <c r="W29" s="133"/>
      <c r="X29" s="133"/>
      <c r="Y29" s="70"/>
    </row>
    <row r="30" spans="1:25" ht="17.25" customHeight="1" x14ac:dyDescent="0.25">
      <c r="A30" s="100" t="s">
        <v>186</v>
      </c>
      <c r="B30" s="109"/>
      <c r="C30" s="109"/>
      <c r="D30" s="109"/>
      <c r="E30" s="109"/>
      <c r="F30" s="102">
        <v>58.99</v>
      </c>
      <c r="G30" s="103">
        <v>97.74</v>
      </c>
      <c r="H30" s="103"/>
      <c r="I30" s="195">
        <v>99.96</v>
      </c>
      <c r="J30" s="103"/>
      <c r="K30" s="105">
        <v>100.72499999999999</v>
      </c>
      <c r="L30" s="103"/>
      <c r="M30" s="105">
        <v>100.91</v>
      </c>
      <c r="N30" s="104"/>
      <c r="O30" s="195">
        <v>2.27</v>
      </c>
      <c r="P30" s="196"/>
      <c r="Q30" s="194">
        <v>0.76698624426847295</v>
      </c>
      <c r="R30" s="104"/>
      <c r="S30" s="103">
        <v>0.18</v>
      </c>
      <c r="T30" s="112"/>
      <c r="U30" s="127" t="s">
        <v>199</v>
      </c>
      <c r="V30" s="131"/>
      <c r="W30" s="133"/>
      <c r="X30" s="133"/>
      <c r="Y30" s="70"/>
    </row>
    <row r="31" spans="1:25" ht="2.25" customHeight="1" x14ac:dyDescent="0.25">
      <c r="A31" s="100"/>
      <c r="B31" s="109"/>
      <c r="C31" s="109"/>
      <c r="D31" s="109"/>
      <c r="E31" s="109"/>
      <c r="F31" s="110"/>
      <c r="G31" s="111"/>
      <c r="H31" s="111"/>
      <c r="I31" s="113"/>
      <c r="J31" s="111"/>
      <c r="K31" s="113"/>
      <c r="L31" s="111"/>
      <c r="M31" s="113"/>
      <c r="N31" s="112"/>
      <c r="O31" s="199"/>
      <c r="P31" s="198"/>
      <c r="Q31" s="200"/>
      <c r="R31" s="112"/>
      <c r="S31" s="111"/>
      <c r="T31" s="112"/>
      <c r="U31" s="131"/>
      <c r="V31" s="131"/>
      <c r="W31" s="133"/>
      <c r="X31" s="133"/>
      <c r="Y31" s="70"/>
    </row>
    <row r="32" spans="1:25" ht="15.75" customHeight="1" x14ac:dyDescent="0.25">
      <c r="A32" s="99"/>
      <c r="B32" s="101" t="s">
        <v>187</v>
      </c>
      <c r="C32" s="109"/>
      <c r="D32" s="109"/>
      <c r="E32" s="109"/>
      <c r="F32" s="102">
        <v>41.01</v>
      </c>
      <c r="G32" s="103">
        <v>104.32</v>
      </c>
      <c r="H32" s="103"/>
      <c r="I32" s="195">
        <v>100.03</v>
      </c>
      <c r="J32" s="103"/>
      <c r="K32" s="105">
        <v>101.383333333333</v>
      </c>
      <c r="L32" s="103"/>
      <c r="M32" s="105">
        <v>99.28</v>
      </c>
      <c r="N32" s="104"/>
      <c r="O32" s="195">
        <v>-4.1100000000000003</v>
      </c>
      <c r="P32" s="196"/>
      <c r="Q32" s="194">
        <v>1.3579938348746201</v>
      </c>
      <c r="R32" s="104"/>
      <c r="S32" s="103">
        <v>-2.0699999999999998</v>
      </c>
      <c r="T32" s="112"/>
      <c r="U32" s="131"/>
      <c r="V32" s="131"/>
      <c r="W32" s="132" t="s">
        <v>188</v>
      </c>
      <c r="X32" s="133"/>
      <c r="Y32" s="70"/>
    </row>
    <row r="33" spans="1:25" ht="15" customHeight="1" x14ac:dyDescent="0.25">
      <c r="A33" s="99"/>
      <c r="B33" s="109"/>
      <c r="C33" s="109" t="s">
        <v>189</v>
      </c>
      <c r="D33" s="109"/>
      <c r="E33" s="109"/>
      <c r="F33" s="110">
        <v>28.34</v>
      </c>
      <c r="G33" s="111">
        <v>100.28</v>
      </c>
      <c r="H33" s="111"/>
      <c r="I33" s="199">
        <v>99.98</v>
      </c>
      <c r="J33" s="111"/>
      <c r="K33" s="113">
        <v>103.22499999999999</v>
      </c>
      <c r="L33" s="111"/>
      <c r="M33" s="113">
        <v>100.7</v>
      </c>
      <c r="N33" s="112"/>
      <c r="O33" s="199">
        <v>-0.3</v>
      </c>
      <c r="P33" s="198"/>
      <c r="Q33" s="200">
        <v>3.2508127031758098</v>
      </c>
      <c r="R33" s="112"/>
      <c r="S33" s="111">
        <v>-2.4500000000000002</v>
      </c>
      <c r="T33" s="112"/>
      <c r="U33" s="131"/>
      <c r="V33" s="131"/>
      <c r="W33" s="133"/>
      <c r="X33" s="133" t="s">
        <v>190</v>
      </c>
      <c r="Y33" s="70"/>
    </row>
    <row r="34" spans="1:25" ht="15.75" customHeight="1" x14ac:dyDescent="0.25">
      <c r="A34" s="114"/>
      <c r="B34" s="115"/>
      <c r="C34" s="115" t="s">
        <v>191</v>
      </c>
      <c r="D34" s="115"/>
      <c r="E34" s="115"/>
      <c r="F34" s="116">
        <v>12.67</v>
      </c>
      <c r="G34" s="119">
        <v>122.28</v>
      </c>
      <c r="H34" s="119"/>
      <c r="I34" s="201">
        <v>99.97</v>
      </c>
      <c r="J34" s="119"/>
      <c r="K34" s="120">
        <v>92.9</v>
      </c>
      <c r="L34" s="119"/>
      <c r="M34" s="120">
        <v>95.91</v>
      </c>
      <c r="N34" s="121"/>
      <c r="O34" s="201">
        <v>-18.239999999999998</v>
      </c>
      <c r="P34" s="202"/>
      <c r="Q34" s="203">
        <v>-7.0690230076692497</v>
      </c>
      <c r="R34" s="121"/>
      <c r="S34" s="119">
        <v>3.24</v>
      </c>
      <c r="T34" s="121"/>
      <c r="U34" s="134"/>
      <c r="V34" s="134"/>
      <c r="W34" s="135"/>
      <c r="X34" s="135" t="s">
        <v>192</v>
      </c>
      <c r="Y34" s="70"/>
    </row>
    <row r="35" spans="1:25" ht="1.5" customHeight="1" x14ac:dyDescent="0.25">
      <c r="I35" s="70"/>
      <c r="J35" s="70"/>
      <c r="K35" s="70"/>
      <c r="L35" s="70"/>
      <c r="M35" s="70"/>
      <c r="N35" s="70"/>
      <c r="O35" s="70"/>
      <c r="P35" s="70"/>
    </row>
    <row r="36" spans="1:25" ht="17.25" customHeight="1" x14ac:dyDescent="0.25">
      <c r="A36" s="123" t="s">
        <v>193</v>
      </c>
      <c r="K36" s="124"/>
      <c r="W36" s="124"/>
      <c r="X36" s="124"/>
    </row>
    <row r="37" spans="1:25" ht="15.75" customHeight="1" x14ac:dyDescent="0.25">
      <c r="A37" s="123" t="s">
        <v>194</v>
      </c>
      <c r="K37" s="124"/>
      <c r="W37" s="124"/>
      <c r="X37" s="124"/>
    </row>
    <row r="38" spans="1:25" x14ac:dyDescent="0.25">
      <c r="W38" s="124"/>
      <c r="X38" s="124"/>
      <c r="Y38" s="124"/>
    </row>
    <row r="39" spans="1:25" x14ac:dyDescent="0.25">
      <c r="W39" s="124"/>
      <c r="X39" s="124"/>
      <c r="Y39" s="124"/>
    </row>
  </sheetData>
  <mergeCells count="20"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4"/>
  <sheetViews>
    <sheetView showGridLines="0" view="pageBreakPreview" zoomScaleSheetLayoutView="100" workbookViewId="0">
      <selection activeCell="AB18" sqref="AB18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6.85546875" style="86" customWidth="1"/>
    <col min="6" max="6" width="10.5703125" style="86" customWidth="1"/>
    <col min="7" max="7" width="1" style="86" customWidth="1"/>
    <col min="8" max="8" width="10.5703125" style="86" customWidth="1"/>
    <col min="9" max="9" width="1" style="86" customWidth="1"/>
    <col min="10" max="10" width="10.5703125" style="86" customWidth="1"/>
    <col min="11" max="11" width="1" style="86" customWidth="1"/>
    <col min="12" max="12" width="10.5703125" style="86" customWidth="1"/>
    <col min="13" max="13" width="1" style="86" customWidth="1"/>
    <col min="14" max="14" width="10.5703125" style="86" customWidth="1"/>
    <col min="15" max="15" width="1" style="86" customWidth="1"/>
    <col min="16" max="16" width="10.5703125" style="70" customWidth="1"/>
    <col min="17" max="17" width="1" style="70" customWidth="1"/>
    <col min="18" max="18" width="10.5703125" style="70" customWidth="1"/>
    <col min="19" max="19" width="1" style="70" customWidth="1"/>
    <col min="20" max="21" width="0.85546875" style="70" customWidth="1"/>
    <col min="22" max="22" width="1" style="86" customWidth="1"/>
    <col min="23" max="23" width="26.5703125" style="86" customWidth="1"/>
    <col min="24" max="24" width="2.28515625" style="86" customWidth="1"/>
    <col min="25" max="25" width="4.5703125" style="70" customWidth="1"/>
    <col min="26" max="16384" width="9.140625" style="86"/>
  </cols>
  <sheetData>
    <row r="1" spans="1:25" s="5" customFormat="1" ht="21.75" customHeight="1" x14ac:dyDescent="0.3">
      <c r="A1" s="1" t="s">
        <v>0</v>
      </c>
      <c r="D1" s="78">
        <v>14.8</v>
      </c>
      <c r="E1" s="1" t="s">
        <v>261</v>
      </c>
      <c r="P1" s="7"/>
      <c r="Q1" s="7"/>
      <c r="R1" s="7"/>
      <c r="S1" s="7"/>
      <c r="T1" s="7"/>
      <c r="U1" s="7"/>
      <c r="Y1" s="7"/>
    </row>
    <row r="2" spans="1:25" s="5" customFormat="1" ht="18.75" customHeight="1" x14ac:dyDescent="0.3">
      <c r="A2" s="1" t="s">
        <v>75</v>
      </c>
      <c r="D2" s="78">
        <v>14.8</v>
      </c>
      <c r="E2" s="79" t="s">
        <v>262</v>
      </c>
      <c r="Y2" s="7"/>
    </row>
    <row r="3" spans="1:25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 t="s">
        <v>142</v>
      </c>
      <c r="X3" s="83"/>
    </row>
    <row r="4" spans="1:25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ht="18" customHeight="1" x14ac:dyDescent="0.25">
      <c r="A5" s="331" t="s">
        <v>195</v>
      </c>
      <c r="B5" s="331"/>
      <c r="C5" s="331"/>
      <c r="D5" s="331"/>
      <c r="E5" s="331"/>
      <c r="F5" s="335" t="s">
        <v>144</v>
      </c>
      <c r="G5" s="324"/>
      <c r="H5" s="324"/>
      <c r="I5" s="324"/>
      <c r="J5" s="324"/>
      <c r="K5" s="324"/>
      <c r="L5" s="324"/>
      <c r="M5" s="325"/>
      <c r="N5" s="324" t="s">
        <v>145</v>
      </c>
      <c r="O5" s="324"/>
      <c r="P5" s="324"/>
      <c r="Q5" s="324"/>
      <c r="R5" s="324"/>
      <c r="S5" s="325"/>
      <c r="T5" s="71"/>
      <c r="U5" s="71"/>
      <c r="V5" s="320" t="s">
        <v>196</v>
      </c>
      <c r="W5" s="320"/>
      <c r="X5" s="73"/>
      <c r="Y5" s="73"/>
    </row>
    <row r="6" spans="1:25" ht="19.5" customHeight="1" x14ac:dyDescent="0.25">
      <c r="A6" s="332"/>
      <c r="B6" s="332"/>
      <c r="C6" s="332"/>
      <c r="D6" s="332"/>
      <c r="E6" s="333"/>
      <c r="F6" s="336" t="s">
        <v>148</v>
      </c>
      <c r="G6" s="326"/>
      <c r="H6" s="326"/>
      <c r="I6" s="326"/>
      <c r="J6" s="326"/>
      <c r="K6" s="326"/>
      <c r="L6" s="326"/>
      <c r="M6" s="327"/>
      <c r="N6" s="326" t="s">
        <v>149</v>
      </c>
      <c r="O6" s="326"/>
      <c r="P6" s="326"/>
      <c r="Q6" s="326"/>
      <c r="R6" s="326"/>
      <c r="S6" s="327"/>
      <c r="T6" s="73"/>
      <c r="U6" s="73"/>
      <c r="V6" s="322"/>
      <c r="W6" s="321"/>
      <c r="X6" s="87"/>
    </row>
    <row r="7" spans="1:25" ht="15.75" customHeight="1" x14ac:dyDescent="0.25">
      <c r="A7" s="332"/>
      <c r="B7" s="332"/>
      <c r="C7" s="332"/>
      <c r="D7" s="332"/>
      <c r="E7" s="333"/>
      <c r="F7" s="337" t="s">
        <v>253</v>
      </c>
      <c r="G7" s="329"/>
      <c r="H7" s="328" t="s">
        <v>254</v>
      </c>
      <c r="I7" s="329"/>
      <c r="J7" s="328" t="s">
        <v>255</v>
      </c>
      <c r="K7" s="329"/>
      <c r="L7" s="328" t="s">
        <v>256</v>
      </c>
      <c r="M7" s="329"/>
      <c r="N7" s="328" t="s">
        <v>254</v>
      </c>
      <c r="O7" s="329"/>
      <c r="P7" s="328" t="s">
        <v>255</v>
      </c>
      <c r="Q7" s="329"/>
      <c r="R7" s="328" t="s">
        <v>256</v>
      </c>
      <c r="S7" s="329"/>
      <c r="V7" s="322"/>
      <c r="W7" s="321"/>
      <c r="X7" s="87"/>
    </row>
    <row r="8" spans="1:25" ht="15.75" customHeight="1" x14ac:dyDescent="0.25">
      <c r="A8" s="334"/>
      <c r="B8" s="334"/>
      <c r="C8" s="334"/>
      <c r="D8" s="334"/>
      <c r="E8" s="334"/>
      <c r="F8" s="318" t="s">
        <v>260</v>
      </c>
      <c r="G8" s="319"/>
      <c r="H8" s="318" t="s">
        <v>259</v>
      </c>
      <c r="I8" s="319"/>
      <c r="J8" s="318" t="s">
        <v>258</v>
      </c>
      <c r="K8" s="319"/>
      <c r="L8" s="318" t="s">
        <v>257</v>
      </c>
      <c r="M8" s="319"/>
      <c r="N8" s="318" t="s">
        <v>259</v>
      </c>
      <c r="O8" s="319"/>
      <c r="P8" s="318" t="s">
        <v>258</v>
      </c>
      <c r="Q8" s="319"/>
      <c r="R8" s="318" t="s">
        <v>257</v>
      </c>
      <c r="S8" s="319"/>
      <c r="T8" s="90"/>
      <c r="U8" s="90"/>
      <c r="V8" s="323"/>
      <c r="W8" s="323"/>
      <c r="X8" s="87"/>
    </row>
    <row r="9" spans="1:25" s="99" customFormat="1" ht="2.25" customHeight="1" x14ac:dyDescent="0.25">
      <c r="A9" s="91"/>
      <c r="B9" s="91"/>
      <c r="C9" s="91"/>
      <c r="D9" s="91"/>
      <c r="E9" s="91"/>
      <c r="F9" s="93"/>
      <c r="G9" s="94"/>
      <c r="H9" s="95"/>
      <c r="I9" s="96"/>
      <c r="J9" s="95"/>
      <c r="K9" s="97"/>
      <c r="L9" s="98"/>
      <c r="M9" s="96"/>
      <c r="N9" s="97"/>
      <c r="O9" s="97"/>
      <c r="P9" s="98"/>
      <c r="Q9" s="96"/>
      <c r="R9" s="98"/>
      <c r="S9" s="96"/>
      <c r="T9" s="97"/>
      <c r="U9" s="97"/>
      <c r="V9" s="87"/>
      <c r="W9" s="87"/>
      <c r="X9" s="91"/>
      <c r="Y9" s="97"/>
    </row>
    <row r="10" spans="1:25" s="108" customFormat="1" ht="16.5" customHeight="1" x14ac:dyDescent="0.25">
      <c r="A10" s="146" t="s">
        <v>263</v>
      </c>
      <c r="B10" s="146"/>
      <c r="C10" s="146"/>
      <c r="D10" s="146"/>
      <c r="E10" s="147"/>
      <c r="F10" s="186">
        <v>101.12</v>
      </c>
      <c r="G10" s="187"/>
      <c r="H10" s="188">
        <v>100</v>
      </c>
      <c r="I10" s="189"/>
      <c r="J10" s="188">
        <v>100.5</v>
      </c>
      <c r="K10" s="188"/>
      <c r="L10" s="190">
        <v>101.06</v>
      </c>
      <c r="M10" s="104"/>
      <c r="N10" s="194">
        <v>1.1100000000000001</v>
      </c>
      <c r="O10" s="194"/>
      <c r="P10" s="195">
        <v>0.5</v>
      </c>
      <c r="Q10" s="196"/>
      <c r="R10" s="195">
        <v>0.56000000000000005</v>
      </c>
      <c r="S10" s="104"/>
      <c r="T10" s="106"/>
      <c r="U10" s="330" t="s">
        <v>284</v>
      </c>
      <c r="V10" s="330"/>
      <c r="W10" s="330"/>
      <c r="X10" s="66"/>
      <c r="Y10" s="70"/>
    </row>
    <row r="11" spans="1:25" s="108" customFormat="1" ht="2.25" customHeight="1" x14ac:dyDescent="0.25">
      <c r="A11" s="146"/>
      <c r="B11" s="146"/>
      <c r="C11" s="146"/>
      <c r="D11" s="146"/>
      <c r="E11" s="147"/>
      <c r="F11" s="186"/>
      <c r="G11" s="187"/>
      <c r="H11" s="188"/>
      <c r="I11" s="189"/>
      <c r="J11" s="188"/>
      <c r="K11" s="188"/>
      <c r="L11" s="190"/>
      <c r="M11" s="104"/>
      <c r="N11" s="194"/>
      <c r="O11" s="194"/>
      <c r="P11" s="195"/>
      <c r="Q11" s="196"/>
      <c r="R11" s="195"/>
      <c r="S11" s="104"/>
      <c r="T11" s="103"/>
      <c r="U11" s="154"/>
      <c r="V11" s="155"/>
      <c r="W11" s="155"/>
      <c r="X11" s="66"/>
      <c r="Y11" s="70"/>
    </row>
    <row r="12" spans="1:25" ht="16.5" customHeight="1" x14ac:dyDescent="0.25">
      <c r="A12" s="148"/>
      <c r="B12" s="149"/>
      <c r="C12" s="150" t="s">
        <v>264</v>
      </c>
      <c r="D12" s="150"/>
      <c r="E12" s="151"/>
      <c r="F12" s="191">
        <v>101.1</v>
      </c>
      <c r="G12" s="192"/>
      <c r="H12" s="191">
        <v>99.95</v>
      </c>
      <c r="I12" s="191"/>
      <c r="J12" s="193">
        <v>100.283333333333</v>
      </c>
      <c r="K12" s="191"/>
      <c r="L12" s="193">
        <v>100.67</v>
      </c>
      <c r="M12" s="112"/>
      <c r="N12" s="197">
        <v>-1.1000000000000001</v>
      </c>
      <c r="O12" s="198"/>
      <c r="P12" s="199">
        <v>0.33350008337501602</v>
      </c>
      <c r="Q12" s="198"/>
      <c r="R12" s="199">
        <v>0.39</v>
      </c>
      <c r="S12" s="112"/>
      <c r="T12" s="111"/>
      <c r="U12" s="156"/>
      <c r="V12" s="157"/>
      <c r="W12" s="158" t="s">
        <v>285</v>
      </c>
      <c r="X12" s="70"/>
    </row>
    <row r="13" spans="1:25" ht="16.5" customHeight="1" x14ac:dyDescent="0.25">
      <c r="A13" s="148"/>
      <c r="B13" s="150"/>
      <c r="C13" s="150" t="s">
        <v>265</v>
      </c>
      <c r="D13" s="150"/>
      <c r="E13" s="151"/>
      <c r="F13" s="191">
        <v>101.78</v>
      </c>
      <c r="G13" s="192"/>
      <c r="H13" s="191">
        <v>99.97</v>
      </c>
      <c r="I13" s="191"/>
      <c r="J13" s="193">
        <v>99.3333333333334</v>
      </c>
      <c r="K13" s="191"/>
      <c r="L13" s="193">
        <v>102.17</v>
      </c>
      <c r="M13" s="112"/>
      <c r="N13" s="197">
        <v>-1.7</v>
      </c>
      <c r="O13" s="198"/>
      <c r="P13" s="199">
        <v>-0.63354451483824303</v>
      </c>
      <c r="Q13" s="198"/>
      <c r="R13" s="199">
        <v>2.85</v>
      </c>
      <c r="S13" s="112"/>
      <c r="T13" s="111"/>
      <c r="U13" s="156"/>
      <c r="V13" s="157"/>
      <c r="W13" s="158" t="s">
        <v>286</v>
      </c>
      <c r="X13" s="70"/>
    </row>
    <row r="14" spans="1:25" ht="16.5" customHeight="1" x14ac:dyDescent="0.25">
      <c r="A14" s="148"/>
      <c r="B14" s="150"/>
      <c r="C14" s="150" t="s">
        <v>266</v>
      </c>
      <c r="D14" s="150"/>
      <c r="E14" s="151"/>
      <c r="F14" s="191">
        <v>100.58</v>
      </c>
      <c r="G14" s="192"/>
      <c r="H14" s="191">
        <v>99.96</v>
      </c>
      <c r="I14" s="191"/>
      <c r="J14" s="193">
        <v>99.716666666666697</v>
      </c>
      <c r="K14" s="191"/>
      <c r="L14" s="193">
        <v>102.28</v>
      </c>
      <c r="M14" s="112"/>
      <c r="N14" s="197">
        <v>-0.6</v>
      </c>
      <c r="O14" s="198"/>
      <c r="P14" s="199">
        <v>-0.24176740308462599</v>
      </c>
      <c r="Q14" s="198"/>
      <c r="R14" s="199">
        <v>2.57</v>
      </c>
      <c r="S14" s="112"/>
      <c r="T14" s="111"/>
      <c r="U14" s="156"/>
      <c r="V14" s="157"/>
      <c r="W14" s="158" t="s">
        <v>287</v>
      </c>
      <c r="X14" s="70"/>
    </row>
    <row r="15" spans="1:25" ht="16.5" customHeight="1" x14ac:dyDescent="0.25">
      <c r="A15" s="148"/>
      <c r="B15" s="150"/>
      <c r="C15" s="150" t="s">
        <v>267</v>
      </c>
      <c r="D15" s="150"/>
      <c r="E15" s="151"/>
      <c r="F15" s="191">
        <v>101.18</v>
      </c>
      <c r="G15" s="192"/>
      <c r="H15" s="191">
        <v>99.99</v>
      </c>
      <c r="I15" s="191"/>
      <c r="J15" s="193">
        <v>100.60833333333299</v>
      </c>
      <c r="K15" s="191"/>
      <c r="L15" s="193">
        <v>100.12</v>
      </c>
      <c r="M15" s="112"/>
      <c r="N15" s="197">
        <v>-1.2</v>
      </c>
      <c r="O15" s="198"/>
      <c r="P15" s="199">
        <v>0.61671805983832695</v>
      </c>
      <c r="Q15" s="198"/>
      <c r="R15" s="199">
        <v>-0.49</v>
      </c>
      <c r="S15" s="112"/>
      <c r="T15" s="111"/>
      <c r="U15" s="156"/>
      <c r="V15" s="159"/>
      <c r="W15" s="158" t="s">
        <v>288</v>
      </c>
      <c r="X15" s="70"/>
    </row>
    <row r="16" spans="1:25" ht="16.5" customHeight="1" x14ac:dyDescent="0.25">
      <c r="A16" s="148"/>
      <c r="B16" s="150"/>
      <c r="C16" s="150" t="s">
        <v>268</v>
      </c>
      <c r="D16" s="150"/>
      <c r="E16" s="151"/>
      <c r="F16" s="191">
        <v>100.67</v>
      </c>
      <c r="G16" s="192"/>
      <c r="H16" s="191">
        <v>100</v>
      </c>
      <c r="I16" s="191"/>
      <c r="J16" s="193">
        <v>101.058333333333</v>
      </c>
      <c r="K16" s="191"/>
      <c r="L16" s="193">
        <v>100.45</v>
      </c>
      <c r="M16" s="112"/>
      <c r="N16" s="197">
        <v>-0.6</v>
      </c>
      <c r="O16" s="198"/>
      <c r="P16" s="199">
        <v>1.05833333333334</v>
      </c>
      <c r="Q16" s="198"/>
      <c r="R16" s="199">
        <v>-0.61</v>
      </c>
      <c r="S16" s="112"/>
      <c r="T16" s="111"/>
      <c r="U16" s="156"/>
      <c r="V16" s="159"/>
      <c r="W16" s="160" t="s">
        <v>289</v>
      </c>
      <c r="X16" s="70"/>
    </row>
    <row r="17" spans="1:24" ht="16.5" customHeight="1" x14ac:dyDescent="0.25">
      <c r="A17" s="148"/>
      <c r="B17" s="150"/>
      <c r="C17" s="150" t="s">
        <v>269</v>
      </c>
      <c r="D17" s="150"/>
      <c r="E17" s="151"/>
      <c r="F17" s="191">
        <v>100.34</v>
      </c>
      <c r="G17" s="191"/>
      <c r="H17" s="193">
        <v>100.02</v>
      </c>
      <c r="I17" s="191"/>
      <c r="J17" s="193">
        <v>103.51666666666701</v>
      </c>
      <c r="K17" s="191"/>
      <c r="L17" s="193">
        <v>103.04</v>
      </c>
      <c r="M17" s="112"/>
      <c r="N17" s="197">
        <v>-0.4</v>
      </c>
      <c r="O17" s="198"/>
      <c r="P17" s="199">
        <v>3.49941676387273</v>
      </c>
      <c r="Q17" s="198"/>
      <c r="R17" s="199">
        <v>-0.46</v>
      </c>
      <c r="S17" s="112"/>
      <c r="T17" s="111"/>
      <c r="U17" s="156"/>
      <c r="V17" s="159"/>
      <c r="W17" s="158" t="s">
        <v>290</v>
      </c>
      <c r="X17" s="70"/>
    </row>
    <row r="18" spans="1:24" ht="16.5" customHeight="1" x14ac:dyDescent="0.25">
      <c r="A18" s="148"/>
      <c r="B18" s="150"/>
      <c r="C18" s="150" t="s">
        <v>270</v>
      </c>
      <c r="D18" s="150"/>
      <c r="E18" s="151"/>
      <c r="F18" s="191">
        <v>100.17</v>
      </c>
      <c r="G18" s="191"/>
      <c r="H18" s="193">
        <v>99.97</v>
      </c>
      <c r="I18" s="191"/>
      <c r="J18" s="193">
        <v>101.23333333333299</v>
      </c>
      <c r="K18" s="191"/>
      <c r="L18" s="193">
        <v>101.91</v>
      </c>
      <c r="M18" s="112"/>
      <c r="N18" s="197">
        <v>-0.2</v>
      </c>
      <c r="O18" s="198"/>
      <c r="P18" s="199">
        <v>1.26708902967657</v>
      </c>
      <c r="Q18" s="198"/>
      <c r="R18" s="199">
        <v>0.66</v>
      </c>
      <c r="S18" s="112"/>
      <c r="T18" s="111"/>
      <c r="U18" s="156"/>
      <c r="V18" s="157"/>
      <c r="W18" s="158" t="s">
        <v>291</v>
      </c>
      <c r="X18" s="70"/>
    </row>
    <row r="19" spans="1:24" ht="15.75" customHeight="1" x14ac:dyDescent="0.25">
      <c r="A19" s="148"/>
      <c r="B19" s="150"/>
      <c r="C19" s="150" t="s">
        <v>271</v>
      </c>
      <c r="D19" s="150"/>
      <c r="E19" s="151"/>
      <c r="F19" s="191">
        <v>101.13</v>
      </c>
      <c r="G19" s="191"/>
      <c r="H19" s="193">
        <v>100.01</v>
      </c>
      <c r="I19" s="191"/>
      <c r="J19" s="193">
        <v>100.808333333333</v>
      </c>
      <c r="K19" s="191"/>
      <c r="L19" s="193">
        <v>102.06</v>
      </c>
      <c r="M19" s="112"/>
      <c r="N19" s="197">
        <v>-1.1000000000000001</v>
      </c>
      <c r="O19" s="198"/>
      <c r="P19" s="199">
        <v>0.799933338888423</v>
      </c>
      <c r="Q19" s="198"/>
      <c r="R19" s="199">
        <v>1.24</v>
      </c>
      <c r="S19" s="112"/>
      <c r="T19" s="111"/>
      <c r="U19" s="156"/>
      <c r="V19" s="159"/>
      <c r="W19" s="158" t="s">
        <v>292</v>
      </c>
      <c r="X19" s="70"/>
    </row>
    <row r="20" spans="1:24" ht="15.75" customHeight="1" x14ac:dyDescent="0.25">
      <c r="A20" s="148"/>
      <c r="B20" s="150"/>
      <c r="C20" s="150" t="s">
        <v>272</v>
      </c>
      <c r="D20" s="150"/>
      <c r="E20" s="151"/>
      <c r="F20" s="191">
        <v>100.02</v>
      </c>
      <c r="G20" s="191"/>
      <c r="H20" s="193">
        <v>100.01</v>
      </c>
      <c r="I20" s="191"/>
      <c r="J20" s="193">
        <v>102.231699166667</v>
      </c>
      <c r="K20" s="191"/>
      <c r="L20" s="193">
        <v>101.21</v>
      </c>
      <c r="M20" s="112"/>
      <c r="N20" s="197" t="s">
        <v>305</v>
      </c>
      <c r="O20" s="198"/>
      <c r="P20" s="200">
        <v>2.2231805682859802</v>
      </c>
      <c r="Q20" s="198"/>
      <c r="R20" s="199">
        <v>-1</v>
      </c>
      <c r="S20" s="112"/>
      <c r="T20" s="111"/>
      <c r="U20" s="156"/>
      <c r="V20" s="157"/>
      <c r="W20" s="150" t="s">
        <v>293</v>
      </c>
      <c r="X20" s="70"/>
    </row>
    <row r="21" spans="1:24" ht="16.5" customHeight="1" x14ac:dyDescent="0.25">
      <c r="A21" s="148"/>
      <c r="B21" s="149"/>
      <c r="C21" s="150" t="s">
        <v>273</v>
      </c>
      <c r="D21" s="150"/>
      <c r="E21" s="151"/>
      <c r="F21" s="191">
        <v>97.53</v>
      </c>
      <c r="G21" s="191"/>
      <c r="H21" s="193">
        <v>99.98</v>
      </c>
      <c r="I21" s="191"/>
      <c r="J21" s="193">
        <v>101.73333333333299</v>
      </c>
      <c r="K21" s="191"/>
      <c r="L21" s="193">
        <v>103.94</v>
      </c>
      <c r="M21" s="112"/>
      <c r="N21" s="197">
        <v>2.5</v>
      </c>
      <c r="O21" s="198"/>
      <c r="P21" s="200">
        <v>1.7587730265899899</v>
      </c>
      <c r="Q21" s="198"/>
      <c r="R21" s="200">
        <v>2.17</v>
      </c>
      <c r="S21" s="112"/>
      <c r="T21" s="107"/>
      <c r="U21" s="149"/>
      <c r="V21" s="159"/>
      <c r="W21" s="158" t="s">
        <v>294</v>
      </c>
      <c r="X21" s="70"/>
    </row>
    <row r="22" spans="1:24" ht="16.5" customHeight="1" x14ac:dyDescent="0.25">
      <c r="A22" s="148"/>
      <c r="B22" s="150"/>
      <c r="C22" s="150" t="s">
        <v>274</v>
      </c>
      <c r="D22" s="150"/>
      <c r="E22" s="151"/>
      <c r="F22" s="191">
        <v>100.4</v>
      </c>
      <c r="G22" s="191"/>
      <c r="H22" s="193">
        <v>99.95</v>
      </c>
      <c r="I22" s="191"/>
      <c r="J22" s="193">
        <v>101.066666666667</v>
      </c>
      <c r="K22" s="191"/>
      <c r="L22" s="193">
        <v>100.31</v>
      </c>
      <c r="M22" s="112"/>
      <c r="N22" s="197">
        <v>-0.4</v>
      </c>
      <c r="O22" s="198"/>
      <c r="P22" s="200">
        <v>1.11722527930633</v>
      </c>
      <c r="Q22" s="198"/>
      <c r="R22" s="200">
        <v>-0.75</v>
      </c>
      <c r="S22" s="112"/>
      <c r="T22" s="111"/>
      <c r="U22" s="156"/>
      <c r="V22" s="159"/>
      <c r="W22" s="158" t="s">
        <v>295</v>
      </c>
      <c r="X22" s="70"/>
    </row>
    <row r="23" spans="1:24" ht="16.5" customHeight="1" x14ac:dyDescent="0.25">
      <c r="A23" s="148"/>
      <c r="B23" s="150"/>
      <c r="C23" s="150" t="s">
        <v>275</v>
      </c>
      <c r="D23" s="150"/>
      <c r="E23" s="151"/>
      <c r="F23" s="191">
        <v>101.09</v>
      </c>
      <c r="G23" s="191"/>
      <c r="H23" s="193">
        <v>100.01</v>
      </c>
      <c r="I23" s="191"/>
      <c r="J23" s="193">
        <v>100.39166666666701</v>
      </c>
      <c r="K23" s="191"/>
      <c r="L23" s="193">
        <v>102.25</v>
      </c>
      <c r="M23" s="112"/>
      <c r="N23" s="197">
        <v>-1.1000000000000001</v>
      </c>
      <c r="O23" s="198"/>
      <c r="P23" s="200">
        <v>0.38330139155071102</v>
      </c>
      <c r="Q23" s="198"/>
      <c r="R23" s="200">
        <v>1.85</v>
      </c>
      <c r="S23" s="112"/>
      <c r="T23" s="111"/>
      <c r="U23" s="156"/>
      <c r="V23" s="157"/>
      <c r="W23" s="158" t="s">
        <v>296</v>
      </c>
      <c r="X23" s="70"/>
    </row>
    <row r="24" spans="1:24" ht="15.75" customHeight="1" x14ac:dyDescent="0.25">
      <c r="A24" s="148"/>
      <c r="B24" s="150"/>
      <c r="C24" s="150" t="s">
        <v>276</v>
      </c>
      <c r="D24" s="150"/>
      <c r="E24" s="151"/>
      <c r="F24" s="191">
        <v>100.62</v>
      </c>
      <c r="G24" s="191"/>
      <c r="H24" s="193">
        <v>99.97</v>
      </c>
      <c r="I24" s="191"/>
      <c r="J24" s="193">
        <v>100.8</v>
      </c>
      <c r="K24" s="191"/>
      <c r="L24" s="193">
        <v>101.21</v>
      </c>
      <c r="M24" s="112"/>
      <c r="N24" s="197">
        <v>-0.6</v>
      </c>
      <c r="O24" s="198"/>
      <c r="P24" s="200">
        <v>0.83361120373457298</v>
      </c>
      <c r="Q24" s="198"/>
      <c r="R24" s="200">
        <v>0.41</v>
      </c>
      <c r="S24" s="112"/>
      <c r="T24" s="111"/>
      <c r="U24" s="156"/>
      <c r="V24" s="159"/>
      <c r="W24" s="158" t="s">
        <v>297</v>
      </c>
      <c r="X24" s="70"/>
    </row>
    <row r="25" spans="1:24" ht="15" customHeight="1" x14ac:dyDescent="0.25">
      <c r="A25" s="148"/>
      <c r="B25" s="150"/>
      <c r="C25" s="150" t="s">
        <v>277</v>
      </c>
      <c r="D25" s="150"/>
      <c r="E25" s="151"/>
      <c r="F25" s="191">
        <v>100.93</v>
      </c>
      <c r="G25" s="191"/>
      <c r="H25" s="193">
        <v>99.97</v>
      </c>
      <c r="I25" s="191"/>
      <c r="J25" s="193">
        <v>100.89166666666701</v>
      </c>
      <c r="K25" s="191"/>
      <c r="L25" s="193">
        <v>101.52</v>
      </c>
      <c r="M25" s="112"/>
      <c r="N25" s="197">
        <v>-0.9</v>
      </c>
      <c r="O25" s="198"/>
      <c r="P25" s="200">
        <v>0.92530843614537905</v>
      </c>
      <c r="Q25" s="198"/>
      <c r="R25" s="200">
        <v>0.62</v>
      </c>
      <c r="S25" s="112"/>
      <c r="T25" s="111"/>
      <c r="U25" s="156"/>
      <c r="V25" s="159"/>
      <c r="W25" s="158" t="s">
        <v>298</v>
      </c>
      <c r="X25" s="70"/>
    </row>
    <row r="26" spans="1:24" ht="16.5" customHeight="1" x14ac:dyDescent="0.25">
      <c r="A26" s="148"/>
      <c r="B26" s="150"/>
      <c r="C26" s="150" t="s">
        <v>278</v>
      </c>
      <c r="D26" s="150"/>
      <c r="E26" s="151"/>
      <c r="F26" s="191">
        <v>100.62</v>
      </c>
      <c r="G26" s="191"/>
      <c r="H26" s="193">
        <v>100.02</v>
      </c>
      <c r="I26" s="191"/>
      <c r="J26" s="193">
        <v>99.983333333333306</v>
      </c>
      <c r="K26" s="191"/>
      <c r="L26" s="193">
        <v>103</v>
      </c>
      <c r="M26" s="112"/>
      <c r="N26" s="197">
        <v>-0.6</v>
      </c>
      <c r="O26" s="198"/>
      <c r="P26" s="200">
        <v>-3.33277787035475E-2</v>
      </c>
      <c r="Q26" s="198"/>
      <c r="R26" s="200">
        <v>3.01</v>
      </c>
      <c r="S26" s="112"/>
      <c r="T26" s="111"/>
      <c r="U26" s="156"/>
      <c r="V26" s="157"/>
      <c r="W26" s="158" t="s">
        <v>299</v>
      </c>
      <c r="X26" s="70"/>
    </row>
    <row r="27" spans="1:24" ht="15" customHeight="1" x14ac:dyDescent="0.25">
      <c r="A27" s="148"/>
      <c r="B27" s="150"/>
      <c r="C27" s="150" t="s">
        <v>279</v>
      </c>
      <c r="D27" s="150"/>
      <c r="E27" s="151"/>
      <c r="F27" s="191">
        <v>101.48</v>
      </c>
      <c r="G27" s="191"/>
      <c r="H27" s="193">
        <v>100.01</v>
      </c>
      <c r="I27" s="191"/>
      <c r="J27" s="193">
        <v>100.808333333333</v>
      </c>
      <c r="K27" s="191"/>
      <c r="L27" s="193">
        <v>101.8</v>
      </c>
      <c r="M27" s="112"/>
      <c r="N27" s="197">
        <v>-1.5</v>
      </c>
      <c r="O27" s="198"/>
      <c r="P27" s="200">
        <v>0.799933338888423</v>
      </c>
      <c r="Q27" s="198"/>
      <c r="R27" s="200">
        <v>0.98</v>
      </c>
      <c r="S27" s="112"/>
      <c r="T27" s="111"/>
      <c r="U27" s="156"/>
      <c r="V27" s="157"/>
      <c r="W27" s="158" t="s">
        <v>300</v>
      </c>
      <c r="X27" s="70"/>
    </row>
    <row r="28" spans="1:24" ht="16.5" customHeight="1" x14ac:dyDescent="0.25">
      <c r="A28" s="148"/>
      <c r="B28" s="150"/>
      <c r="C28" s="150" t="s">
        <v>280</v>
      </c>
      <c r="D28" s="150"/>
      <c r="E28" s="151"/>
      <c r="F28" s="191">
        <v>100.5</v>
      </c>
      <c r="G28" s="191"/>
      <c r="H28" s="193">
        <v>100.02</v>
      </c>
      <c r="I28" s="191"/>
      <c r="J28" s="193">
        <v>100.05</v>
      </c>
      <c r="K28" s="191"/>
      <c r="L28" s="193">
        <v>102.01</v>
      </c>
      <c r="M28" s="112"/>
      <c r="N28" s="197">
        <v>-0.5</v>
      </c>
      <c r="O28" s="198"/>
      <c r="P28" s="200">
        <v>3.3327778703561697E-2</v>
      </c>
      <c r="Q28" s="198"/>
      <c r="R28" s="200">
        <v>1.96</v>
      </c>
      <c r="S28" s="112"/>
      <c r="T28" s="111"/>
      <c r="U28" s="156"/>
      <c r="V28" s="159"/>
      <c r="W28" s="158" t="s">
        <v>301</v>
      </c>
      <c r="X28" s="70"/>
    </row>
    <row r="29" spans="1:24" ht="16.5" customHeight="1" x14ac:dyDescent="0.25">
      <c r="A29" s="148"/>
      <c r="B29" s="150"/>
      <c r="C29" s="150" t="s">
        <v>281</v>
      </c>
      <c r="D29" s="150"/>
      <c r="E29" s="151"/>
      <c r="F29" s="191">
        <v>100.78</v>
      </c>
      <c r="G29" s="191"/>
      <c r="H29" s="193">
        <v>100</v>
      </c>
      <c r="I29" s="191"/>
      <c r="J29" s="193">
        <v>100.76666666666701</v>
      </c>
      <c r="K29" s="191"/>
      <c r="L29" s="193">
        <v>99.67</v>
      </c>
      <c r="M29" s="112"/>
      <c r="N29" s="197">
        <v>-0.8</v>
      </c>
      <c r="O29" s="198"/>
      <c r="P29" s="200">
        <v>0.76666666666668004</v>
      </c>
      <c r="Q29" s="198"/>
      <c r="R29" s="200">
        <v>-1.0900000000000001</v>
      </c>
      <c r="S29" s="112"/>
      <c r="T29" s="106"/>
      <c r="U29" s="156"/>
      <c r="V29" s="157"/>
      <c r="W29" s="158" t="s">
        <v>302</v>
      </c>
      <c r="X29" s="70"/>
    </row>
    <row r="30" spans="1:24" ht="17.25" customHeight="1" x14ac:dyDescent="0.25">
      <c r="A30" s="148"/>
      <c r="B30" s="150"/>
      <c r="C30" s="150" t="s">
        <v>282</v>
      </c>
      <c r="D30" s="150"/>
      <c r="E30" s="151"/>
      <c r="F30" s="191">
        <v>100.81</v>
      </c>
      <c r="G30" s="191"/>
      <c r="H30" s="193">
        <v>100.04</v>
      </c>
      <c r="I30" s="191"/>
      <c r="J30" s="193">
        <v>101.333333333333</v>
      </c>
      <c r="K30" s="191"/>
      <c r="L30" s="193">
        <v>101.7</v>
      </c>
      <c r="M30" s="112"/>
      <c r="N30" s="197">
        <v>-0.8</v>
      </c>
      <c r="O30" s="198"/>
      <c r="P30" s="200">
        <v>1.2911286963764901</v>
      </c>
      <c r="Q30" s="198"/>
      <c r="R30" s="200">
        <v>0.37</v>
      </c>
      <c r="S30" s="112"/>
      <c r="T30" s="111"/>
      <c r="U30" s="156"/>
      <c r="V30" s="157"/>
      <c r="W30" s="158" t="s">
        <v>303</v>
      </c>
      <c r="X30" s="70"/>
    </row>
    <row r="31" spans="1:24" ht="16.5" customHeight="1" x14ac:dyDescent="0.25">
      <c r="A31" s="148"/>
      <c r="B31" s="150"/>
      <c r="C31" s="150" t="s">
        <v>283</v>
      </c>
      <c r="D31" s="150"/>
      <c r="E31" s="151"/>
      <c r="F31" s="191">
        <v>100.18</v>
      </c>
      <c r="G31" s="191"/>
      <c r="H31" s="193">
        <v>99.96</v>
      </c>
      <c r="I31" s="191"/>
      <c r="J31" s="193">
        <v>101.2</v>
      </c>
      <c r="K31" s="191"/>
      <c r="L31" s="193">
        <v>99.3</v>
      </c>
      <c r="M31" s="112"/>
      <c r="N31" s="197">
        <v>-0.2</v>
      </c>
      <c r="O31" s="198"/>
      <c r="P31" s="200">
        <v>1.2421842434347701</v>
      </c>
      <c r="Q31" s="198"/>
      <c r="R31" s="200">
        <v>-1.88</v>
      </c>
      <c r="S31" s="112"/>
      <c r="T31" s="111"/>
      <c r="U31" s="156"/>
      <c r="V31" s="161"/>
      <c r="W31" s="162" t="s">
        <v>304</v>
      </c>
      <c r="X31" s="70"/>
    </row>
    <row r="32" spans="1:24" ht="6" customHeight="1" x14ac:dyDescent="0.25">
      <c r="A32" s="114"/>
      <c r="B32" s="152"/>
      <c r="C32" s="115"/>
      <c r="D32" s="115"/>
      <c r="E32" s="115"/>
      <c r="F32" s="117"/>
      <c r="G32" s="118"/>
      <c r="H32" s="119"/>
      <c r="I32" s="119"/>
      <c r="J32" s="120"/>
      <c r="K32" s="119"/>
      <c r="L32" s="120"/>
      <c r="M32" s="121"/>
      <c r="N32" s="119"/>
      <c r="O32" s="119"/>
      <c r="P32" s="120"/>
      <c r="Q32" s="121"/>
      <c r="R32" s="119"/>
      <c r="S32" s="121"/>
      <c r="T32" s="119"/>
      <c r="U32" s="119"/>
      <c r="V32" s="153"/>
      <c r="W32" s="122"/>
      <c r="X32" s="70"/>
    </row>
    <row r="33" spans="2:25" ht="6" customHeight="1" x14ac:dyDescent="0.25">
      <c r="H33" s="70"/>
      <c r="I33" s="70"/>
      <c r="J33" s="70"/>
      <c r="K33" s="70"/>
      <c r="L33" s="70"/>
      <c r="M33" s="70"/>
      <c r="N33" s="70"/>
      <c r="O33" s="70"/>
    </row>
    <row r="34" spans="2:25" ht="17.25" customHeight="1" x14ac:dyDescent="0.25">
      <c r="B34" s="123" t="s">
        <v>197</v>
      </c>
      <c r="J34" s="125"/>
    </row>
    <row r="35" spans="2:25" ht="15.75" customHeight="1" x14ac:dyDescent="0.25">
      <c r="C35" s="125" t="s">
        <v>198</v>
      </c>
      <c r="E35" s="125"/>
      <c r="F35" s="125"/>
      <c r="G35" s="125"/>
      <c r="H35" s="125"/>
      <c r="I35" s="125"/>
      <c r="L35" s="126"/>
      <c r="M35" s="70"/>
      <c r="N35" s="70"/>
      <c r="O35" s="70"/>
    </row>
    <row r="36" spans="2:25" s="81" customFormat="1" ht="15" x14ac:dyDescent="0.25">
      <c r="P36" s="80"/>
      <c r="Q36" s="80"/>
      <c r="R36" s="80"/>
      <c r="S36" s="80"/>
      <c r="T36" s="80"/>
      <c r="U36" s="80"/>
      <c r="V36" s="124"/>
      <c r="W36" s="124"/>
      <c r="X36" s="124"/>
      <c r="Y36" s="80"/>
    </row>
    <row r="37" spans="2:25" s="81" customFormat="1" ht="15" x14ac:dyDescent="0.25">
      <c r="P37" s="80"/>
      <c r="Q37" s="80"/>
      <c r="R37" s="80"/>
      <c r="S37" s="80"/>
      <c r="T37" s="80"/>
      <c r="U37" s="80"/>
      <c r="V37" s="124"/>
      <c r="W37" s="124"/>
      <c r="X37" s="124"/>
      <c r="Y37" s="80"/>
    </row>
    <row r="38" spans="2:25" x14ac:dyDescent="0.25">
      <c r="V38" s="124"/>
      <c r="W38" s="124"/>
      <c r="X38" s="124"/>
    </row>
    <row r="39" spans="2:25" x14ac:dyDescent="0.25">
      <c r="V39" s="124"/>
      <c r="W39" s="124"/>
      <c r="X39" s="124"/>
    </row>
    <row r="40" spans="2:25" x14ac:dyDescent="0.25">
      <c r="V40" s="124"/>
      <c r="W40" s="124"/>
      <c r="X40" s="124"/>
    </row>
    <row r="41" spans="2:25" x14ac:dyDescent="0.25">
      <c r="V41" s="124"/>
      <c r="W41" s="124"/>
      <c r="X41" s="124"/>
    </row>
    <row r="42" spans="2:25" x14ac:dyDescent="0.25">
      <c r="V42" s="124"/>
      <c r="W42" s="124"/>
      <c r="X42" s="124"/>
    </row>
    <row r="43" spans="2:25" x14ac:dyDescent="0.25">
      <c r="V43" s="124"/>
      <c r="W43" s="124"/>
      <c r="X43" s="124"/>
    </row>
    <row r="44" spans="2:25" x14ac:dyDescent="0.25">
      <c r="V44" s="124"/>
      <c r="W44" s="124"/>
      <c r="X44" s="124"/>
    </row>
  </sheetData>
  <mergeCells count="21"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U10:W10"/>
    <mergeCell ref="R8:S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2018-08-22T10:07:18Z</cp:lastPrinted>
  <dcterms:created xsi:type="dcterms:W3CDTF">2004-08-20T21:28:46Z</dcterms:created>
  <dcterms:modified xsi:type="dcterms:W3CDTF">2019-05-10T08:02:05Z</dcterms:modified>
</cp:coreProperties>
</file>