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-3.11" sheetId="1" r:id="rId1"/>
  </sheets>
  <definedNames/>
  <calcPr fullCalcOnLoad="1"/>
</workbook>
</file>

<file path=xl/sharedStrings.xml><?xml version="1.0" encoding="utf-8"?>
<sst xmlns="http://schemas.openxmlformats.org/spreadsheetml/2006/main" count="98" uniqueCount="71">
  <si>
    <t xml:space="preserve">ตาราง     </t>
  </si>
  <si>
    <t>จำนวนนักเรียน จำแนกตามสังกัด  เพศ  และชั้นเรียน ปีการศึกษา 2550</t>
  </si>
  <si>
    <t>TABLE</t>
  </si>
  <si>
    <t>NUMBER OF STUDENTS BY JURISDICTION, SEX AND GRADE: ACADEMIC YEAR 2007</t>
  </si>
  <si>
    <t>ชั้นเรียน</t>
  </si>
  <si>
    <t>สังกัด  Jurisdiction</t>
  </si>
  <si>
    <t>สำนักบริหารงาน</t>
  </si>
  <si>
    <t>รวม</t>
  </si>
  <si>
    <t>สนง.คณะกรรมการ</t>
  </si>
  <si>
    <t>คณะกรรมการส่งเสริม</t>
  </si>
  <si>
    <t>สำนักประสานและพัฒนา</t>
  </si>
  <si>
    <t>Total</t>
  </si>
  <si>
    <t>การศึกษาขั้นพื้นฐาน</t>
  </si>
  <si>
    <t>การศึกษาเอกชน</t>
  </si>
  <si>
    <t>การจัดการศึกษาท้องถิ่น</t>
  </si>
  <si>
    <r>
      <t xml:space="preserve">อื่น ๆ </t>
    </r>
    <r>
      <rPr>
        <vertAlign val="superscript"/>
        <sz val="13"/>
        <rFont val="AngsanaUPC"/>
        <family val="1"/>
      </rPr>
      <t>1/</t>
    </r>
  </si>
  <si>
    <t>Grade</t>
  </si>
  <si>
    <t>Office of the Basic</t>
  </si>
  <si>
    <t>Office of the Private</t>
  </si>
  <si>
    <t>Bureau of Local Educational</t>
  </si>
  <si>
    <t>Others</t>
  </si>
  <si>
    <t>Education Commission</t>
  </si>
  <si>
    <t>Development and Co-ordination</t>
  </si>
  <si>
    <t>ชาย</t>
  </si>
  <si>
    <t>หญิง</t>
  </si>
  <si>
    <t>Male</t>
  </si>
  <si>
    <t>Female</t>
  </si>
  <si>
    <t>ยอดรวม</t>
  </si>
  <si>
    <t>อนุบาล1</t>
  </si>
  <si>
    <t>Kindergarten 1</t>
  </si>
  <si>
    <t>อนุบาล 2</t>
  </si>
  <si>
    <t>Kindergarten 2</t>
  </si>
  <si>
    <t>อนุบาล 3</t>
  </si>
  <si>
    <t>Kindergarten3</t>
  </si>
  <si>
    <t>เด็กเล็ก</t>
  </si>
  <si>
    <t>Pre-primary</t>
  </si>
  <si>
    <t>ประถม 1</t>
  </si>
  <si>
    <t>Pratom 1</t>
  </si>
  <si>
    <t>ประถม 2</t>
  </si>
  <si>
    <t>Pratom 2</t>
  </si>
  <si>
    <t>ประถม 3</t>
  </si>
  <si>
    <t>Pratom 3</t>
  </si>
  <si>
    <t>ประถม 4</t>
  </si>
  <si>
    <t>Pratom 4</t>
  </si>
  <si>
    <t>ประถม 5</t>
  </si>
  <si>
    <t>Pratom 5</t>
  </si>
  <si>
    <t>ประถม 6</t>
  </si>
  <si>
    <t>Pratom 6</t>
  </si>
  <si>
    <t>มัธยม 1</t>
  </si>
  <si>
    <t>Matayom 1</t>
  </si>
  <si>
    <t>มัธยม 2</t>
  </si>
  <si>
    <t>Matayom 2</t>
  </si>
  <si>
    <t>มัธยม 3</t>
  </si>
  <si>
    <t>Matayom 3</t>
  </si>
  <si>
    <t>มัธยม 4</t>
  </si>
  <si>
    <t>Matayom 4</t>
  </si>
  <si>
    <t>มัธยม 5</t>
  </si>
  <si>
    <t>Matayom 5</t>
  </si>
  <si>
    <t xml:space="preserve">มัธยม 6 </t>
  </si>
  <si>
    <t>Matayom 6</t>
  </si>
  <si>
    <t xml:space="preserve">       หมายเหตุ  : (1) ไม่รวมประเภทอาชีวะ และอุดมศึกษา</t>
  </si>
  <si>
    <t>Note  : (1)  Excluding  vocational  and  University.</t>
  </si>
  <si>
    <t xml:space="preserve">             1/  โรงเรียนตำรวจตระเวนชายแดน,</t>
  </si>
  <si>
    <t xml:space="preserve">            1/   School for hilltribe children Set up by the Border Patrol Police,</t>
  </si>
  <si>
    <t xml:space="preserve"> </t>
  </si>
  <si>
    <t xml:space="preserve">        สำนักงานสภาสถาบันราชภัฏ</t>
  </si>
  <si>
    <t xml:space="preserve">                  Office of Rajabhat Institutes Council (ORIC).</t>
  </si>
  <si>
    <t xml:space="preserve">   ที่มา: สำนักงานเขตพื้นที่การศึกษาจังหวัดจันทบุรี  </t>
  </si>
  <si>
    <t>Source:    Chanthaburi Educational Service Area Office</t>
  </si>
  <si>
    <t xml:space="preserve">            สถาบันการศึกษาจังหวัดจันทบุรี</t>
  </si>
  <si>
    <t xml:space="preserve">                Chanthaburi Educational Institution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</si>
</sst>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"/>
    <numFmt numFmtId="177" formatCode="\-\ 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vertAlign val="superscript"/>
      <sz val="13"/>
      <name val="AngsanaUPC"/>
      <family val="1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 quotePrefix="1">
      <alignment horizontal="left" vertical="center"/>
    </xf>
    <xf numFmtId="3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4" xfId="0" applyNumberFormat="1" applyFont="1" applyBorder="1" applyAlignment="1">
      <alignment horizontal="left" vertical="center"/>
    </xf>
    <xf numFmtId="3" fontId="3" fillId="0" borderId="17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 quotePrefix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7" customWidth="1"/>
    <col min="2" max="2" width="5.8515625" style="7" customWidth="1"/>
    <col min="3" max="3" width="4.421875" style="7" customWidth="1"/>
    <col min="4" max="4" width="6.57421875" style="7" customWidth="1"/>
    <col min="5" max="16" width="7.00390625" style="7" customWidth="1"/>
    <col min="17" max="19" width="6.8515625" style="7" customWidth="1"/>
    <col min="20" max="20" width="0.9921875" style="7" customWidth="1"/>
    <col min="21" max="21" width="17.57421875" style="7" customWidth="1"/>
    <col min="22" max="22" width="8.140625" style="7" customWidth="1"/>
    <col min="23" max="16384" width="9.140625" style="7" customWidth="1"/>
  </cols>
  <sheetData>
    <row r="1" spans="2:4" s="1" customFormat="1" ht="21">
      <c r="B1" s="1" t="s">
        <v>0</v>
      </c>
      <c r="C1" s="2">
        <v>3.11</v>
      </c>
      <c r="D1" s="1" t="s">
        <v>1</v>
      </c>
    </row>
    <row r="2" spans="2:4" s="1" customFormat="1" ht="21">
      <c r="B2" s="1" t="s">
        <v>2</v>
      </c>
      <c r="C2" s="2">
        <v>3.11</v>
      </c>
      <c r="D2" s="1" t="s">
        <v>3</v>
      </c>
    </row>
    <row r="3" spans="1:21" ht="15.75" customHeight="1">
      <c r="A3" s="51" t="s">
        <v>4</v>
      </c>
      <c r="B3" s="51"/>
      <c r="C3" s="51"/>
      <c r="D3" s="52"/>
      <c r="E3" s="3"/>
      <c r="F3" s="4"/>
      <c r="G3" s="5"/>
      <c r="H3" s="57" t="s">
        <v>5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6"/>
      <c r="U3" s="4"/>
    </row>
    <row r="4" spans="1:19" ht="15.75" customHeight="1">
      <c r="A4" s="53"/>
      <c r="B4" s="53"/>
      <c r="C4" s="53"/>
      <c r="D4" s="54"/>
      <c r="E4" s="8"/>
      <c r="G4" s="9"/>
      <c r="H4" s="10"/>
      <c r="I4" s="4"/>
      <c r="J4" s="11"/>
      <c r="K4" s="60" t="s">
        <v>6</v>
      </c>
      <c r="L4" s="61"/>
      <c r="M4" s="62"/>
      <c r="N4" s="10"/>
      <c r="O4" s="4"/>
      <c r="P4" s="11"/>
      <c r="S4" s="9"/>
    </row>
    <row r="5" spans="1:21" ht="15.75" customHeight="1">
      <c r="A5" s="53"/>
      <c r="B5" s="53"/>
      <c r="C5" s="53"/>
      <c r="D5" s="54"/>
      <c r="E5" s="63" t="s">
        <v>7</v>
      </c>
      <c r="F5" s="64"/>
      <c r="G5" s="65"/>
      <c r="H5" s="63" t="s">
        <v>8</v>
      </c>
      <c r="I5" s="64"/>
      <c r="J5" s="65"/>
      <c r="K5" s="63" t="s">
        <v>9</v>
      </c>
      <c r="L5" s="64"/>
      <c r="M5" s="65"/>
      <c r="N5" s="63" t="s">
        <v>10</v>
      </c>
      <c r="O5" s="64"/>
      <c r="P5" s="65"/>
      <c r="Q5" s="64"/>
      <c r="R5" s="64"/>
      <c r="S5" s="65"/>
      <c r="T5" s="12"/>
      <c r="U5" s="12"/>
    </row>
    <row r="6" spans="1:21" ht="15.75" customHeight="1">
      <c r="A6" s="53"/>
      <c r="B6" s="53"/>
      <c r="C6" s="53"/>
      <c r="D6" s="54"/>
      <c r="E6" s="63" t="s">
        <v>11</v>
      </c>
      <c r="F6" s="64"/>
      <c r="G6" s="65"/>
      <c r="H6" s="63" t="s">
        <v>12</v>
      </c>
      <c r="I6" s="64"/>
      <c r="J6" s="65"/>
      <c r="K6" s="63" t="s">
        <v>13</v>
      </c>
      <c r="L6" s="64"/>
      <c r="M6" s="65"/>
      <c r="N6" s="63" t="s">
        <v>14</v>
      </c>
      <c r="O6" s="64"/>
      <c r="P6" s="65"/>
      <c r="Q6" s="64" t="s">
        <v>15</v>
      </c>
      <c r="R6" s="64"/>
      <c r="S6" s="65"/>
      <c r="T6" s="12"/>
      <c r="U6" s="12" t="s">
        <v>16</v>
      </c>
    </row>
    <row r="7" spans="1:19" ht="15.75" customHeight="1">
      <c r="A7" s="53"/>
      <c r="B7" s="53"/>
      <c r="C7" s="53"/>
      <c r="D7" s="54"/>
      <c r="E7" s="8"/>
      <c r="G7" s="9"/>
      <c r="H7" s="63" t="s">
        <v>17</v>
      </c>
      <c r="I7" s="64"/>
      <c r="J7" s="65"/>
      <c r="K7" s="63" t="s">
        <v>18</v>
      </c>
      <c r="L7" s="64"/>
      <c r="M7" s="65"/>
      <c r="N7" s="63" t="s">
        <v>19</v>
      </c>
      <c r="O7" s="64"/>
      <c r="P7" s="65"/>
      <c r="Q7" s="64" t="s">
        <v>20</v>
      </c>
      <c r="R7" s="64"/>
      <c r="S7" s="65"/>
    </row>
    <row r="8" spans="1:19" ht="15.75" customHeight="1">
      <c r="A8" s="53"/>
      <c r="B8" s="53"/>
      <c r="C8" s="53"/>
      <c r="D8" s="54"/>
      <c r="E8" s="13"/>
      <c r="F8" s="14"/>
      <c r="G8" s="15"/>
      <c r="H8" s="46" t="s">
        <v>21</v>
      </c>
      <c r="I8" s="47"/>
      <c r="J8" s="48"/>
      <c r="K8" s="46" t="s">
        <v>21</v>
      </c>
      <c r="L8" s="47"/>
      <c r="M8" s="48"/>
      <c r="N8" s="46" t="s">
        <v>22</v>
      </c>
      <c r="O8" s="47"/>
      <c r="P8" s="48"/>
      <c r="Q8" s="14"/>
      <c r="R8" s="14"/>
      <c r="S8" s="15"/>
    </row>
    <row r="9" spans="1:20" ht="15.75" customHeight="1">
      <c r="A9" s="53"/>
      <c r="B9" s="53"/>
      <c r="C9" s="53"/>
      <c r="D9" s="54"/>
      <c r="E9" s="17" t="s">
        <v>7</v>
      </c>
      <c r="F9" s="18" t="s">
        <v>23</v>
      </c>
      <c r="G9" s="19" t="s">
        <v>24</v>
      </c>
      <c r="H9" s="17" t="s">
        <v>7</v>
      </c>
      <c r="I9" s="17" t="s">
        <v>23</v>
      </c>
      <c r="J9" s="19" t="s">
        <v>24</v>
      </c>
      <c r="K9" s="17" t="s">
        <v>7</v>
      </c>
      <c r="L9" s="17" t="s">
        <v>23</v>
      </c>
      <c r="M9" s="19" t="s">
        <v>24</v>
      </c>
      <c r="N9" s="17" t="s">
        <v>7</v>
      </c>
      <c r="O9" s="17" t="s">
        <v>23</v>
      </c>
      <c r="P9" s="19" t="s">
        <v>24</v>
      </c>
      <c r="Q9" s="17" t="s">
        <v>7</v>
      </c>
      <c r="R9" s="17" t="s">
        <v>23</v>
      </c>
      <c r="S9" s="19" t="s">
        <v>24</v>
      </c>
      <c r="T9" s="12"/>
    </row>
    <row r="10" spans="1:21" ht="15.75" customHeight="1">
      <c r="A10" s="55"/>
      <c r="B10" s="55"/>
      <c r="C10" s="55"/>
      <c r="D10" s="56"/>
      <c r="E10" s="20" t="s">
        <v>11</v>
      </c>
      <c r="F10" s="21" t="s">
        <v>25</v>
      </c>
      <c r="G10" s="21" t="s">
        <v>26</v>
      </c>
      <c r="H10" s="20" t="s">
        <v>11</v>
      </c>
      <c r="I10" s="20" t="s">
        <v>25</v>
      </c>
      <c r="J10" s="21" t="s">
        <v>26</v>
      </c>
      <c r="K10" s="20" t="s">
        <v>11</v>
      </c>
      <c r="L10" s="20" t="s">
        <v>25</v>
      </c>
      <c r="M10" s="21">
        <v>515</v>
      </c>
      <c r="N10" s="20" t="s">
        <v>11</v>
      </c>
      <c r="O10" s="20" t="s">
        <v>25</v>
      </c>
      <c r="P10" s="21" t="s">
        <v>26</v>
      </c>
      <c r="Q10" s="20" t="s">
        <v>11</v>
      </c>
      <c r="R10" s="20" t="s">
        <v>25</v>
      </c>
      <c r="S10" s="21" t="s">
        <v>26</v>
      </c>
      <c r="T10" s="16"/>
      <c r="U10" s="14"/>
    </row>
    <row r="11" spans="1:23" ht="17.25" customHeight="1">
      <c r="A11" s="49" t="s">
        <v>27</v>
      </c>
      <c r="B11" s="49"/>
      <c r="C11" s="49"/>
      <c r="D11" s="50"/>
      <c r="E11" s="22">
        <f aca="true" t="shared" si="0" ref="E11:G27">SUM(H11,K11,N11,Q11)</f>
        <v>92568</v>
      </c>
      <c r="F11" s="22">
        <f t="shared" si="0"/>
        <v>46188</v>
      </c>
      <c r="G11" s="22">
        <f t="shared" si="0"/>
        <v>46380</v>
      </c>
      <c r="H11" s="22">
        <f>SUM(H12:H27)</f>
        <v>64564</v>
      </c>
      <c r="I11" s="22">
        <f aca="true" t="shared" si="1" ref="I11:S11">SUM(I12:I27)</f>
        <v>32268</v>
      </c>
      <c r="J11" s="22">
        <f t="shared" si="1"/>
        <v>32296</v>
      </c>
      <c r="K11" s="22">
        <f t="shared" si="1"/>
        <v>21113</v>
      </c>
      <c r="L11" s="22">
        <f t="shared" si="1"/>
        <v>10260</v>
      </c>
      <c r="M11" s="22">
        <f t="shared" si="1"/>
        <v>10853</v>
      </c>
      <c r="N11" s="22">
        <f t="shared" si="1"/>
        <v>6043</v>
      </c>
      <c r="O11" s="22">
        <f t="shared" si="1"/>
        <v>3214</v>
      </c>
      <c r="P11" s="22">
        <f t="shared" si="1"/>
        <v>2829</v>
      </c>
      <c r="Q11" s="22">
        <f t="shared" si="1"/>
        <v>848</v>
      </c>
      <c r="R11" s="22">
        <f t="shared" si="1"/>
        <v>446</v>
      </c>
      <c r="S11" s="22">
        <f t="shared" si="1"/>
        <v>402</v>
      </c>
      <c r="T11" s="10"/>
      <c r="U11" s="23" t="s">
        <v>11</v>
      </c>
      <c r="V11" s="12"/>
      <c r="W11" s="12"/>
    </row>
    <row r="12" spans="1:21" s="26" customFormat="1" ht="15" customHeight="1">
      <c r="A12" s="24" t="s">
        <v>28</v>
      </c>
      <c r="B12" s="25"/>
      <c r="D12" s="27"/>
      <c r="E12" s="28">
        <f t="shared" si="0"/>
        <v>3812</v>
      </c>
      <c r="F12" s="28">
        <f t="shared" si="0"/>
        <v>1971</v>
      </c>
      <c r="G12" s="28">
        <f t="shared" si="0"/>
        <v>1841</v>
      </c>
      <c r="H12" s="28">
        <v>2283</v>
      </c>
      <c r="I12" s="28">
        <v>1173</v>
      </c>
      <c r="J12" s="28">
        <v>1110</v>
      </c>
      <c r="K12" s="28">
        <f>994+214</f>
        <v>1208</v>
      </c>
      <c r="L12" s="28">
        <f>508+120</f>
        <v>628</v>
      </c>
      <c r="M12" s="28">
        <f>486+94</f>
        <v>580</v>
      </c>
      <c r="N12" s="28">
        <f>121+159+41</f>
        <v>321</v>
      </c>
      <c r="O12" s="28">
        <f>55+89+26</f>
        <v>170</v>
      </c>
      <c r="P12" s="28">
        <f>66+70+15</f>
        <v>151</v>
      </c>
      <c r="Q12" s="29">
        <v>0</v>
      </c>
      <c r="R12" s="29">
        <v>0</v>
      </c>
      <c r="S12" s="29">
        <v>0</v>
      </c>
      <c r="U12" s="24" t="s">
        <v>29</v>
      </c>
    </row>
    <row r="13" spans="1:21" s="26" customFormat="1" ht="15" customHeight="1">
      <c r="A13" s="24" t="s">
        <v>30</v>
      </c>
      <c r="B13" s="25"/>
      <c r="D13" s="27"/>
      <c r="E13" s="28">
        <f t="shared" si="0"/>
        <v>5859</v>
      </c>
      <c r="F13" s="28">
        <f t="shared" si="0"/>
        <v>3050</v>
      </c>
      <c r="G13" s="28">
        <f t="shared" si="0"/>
        <v>2809</v>
      </c>
      <c r="H13" s="28">
        <f>2253+1623</f>
        <v>3876</v>
      </c>
      <c r="I13" s="28">
        <f>1183+825</f>
        <v>2008</v>
      </c>
      <c r="J13" s="28">
        <f>1070+798</f>
        <v>1868</v>
      </c>
      <c r="K13" s="28">
        <f>1264+331</f>
        <v>1595</v>
      </c>
      <c r="L13" s="28">
        <f>670+172</f>
        <v>842</v>
      </c>
      <c r="M13" s="28">
        <f>594+159</f>
        <v>753</v>
      </c>
      <c r="N13" s="28">
        <f>182+102+104</f>
        <v>388</v>
      </c>
      <c r="O13" s="28">
        <f>99+48+53</f>
        <v>200</v>
      </c>
      <c r="P13" s="28">
        <f>83+54+51</f>
        <v>188</v>
      </c>
      <c r="Q13" s="29">
        <v>0</v>
      </c>
      <c r="R13" s="29">
        <v>0</v>
      </c>
      <c r="S13" s="29">
        <v>0</v>
      </c>
      <c r="U13" s="24" t="s">
        <v>31</v>
      </c>
    </row>
    <row r="14" spans="1:21" s="26" customFormat="1" ht="15" customHeight="1">
      <c r="A14" s="24" t="s">
        <v>32</v>
      </c>
      <c r="B14" s="25"/>
      <c r="D14" s="27"/>
      <c r="E14" s="28">
        <f t="shared" si="0"/>
        <v>3629</v>
      </c>
      <c r="F14" s="28">
        <f t="shared" si="0"/>
        <v>1919</v>
      </c>
      <c r="G14" s="28">
        <f t="shared" si="0"/>
        <v>1710</v>
      </c>
      <c r="H14" s="28">
        <v>1748</v>
      </c>
      <c r="I14" s="28">
        <v>897</v>
      </c>
      <c r="J14" s="28">
        <v>851</v>
      </c>
      <c r="K14" s="28">
        <f>1241+374</f>
        <v>1615</v>
      </c>
      <c r="L14" s="28">
        <f>677+198</f>
        <v>875</v>
      </c>
      <c r="M14" s="28">
        <f>564+176</f>
        <v>740</v>
      </c>
      <c r="N14" s="28">
        <f>163+103</f>
        <v>266</v>
      </c>
      <c r="O14" s="28">
        <f>94+53</f>
        <v>147</v>
      </c>
      <c r="P14" s="28">
        <f>69+50</f>
        <v>119</v>
      </c>
      <c r="Q14" s="29">
        <v>0</v>
      </c>
      <c r="R14" s="29">
        <v>0</v>
      </c>
      <c r="S14" s="29">
        <v>0</v>
      </c>
      <c r="U14" s="24" t="s">
        <v>33</v>
      </c>
    </row>
    <row r="15" spans="1:21" s="26" customFormat="1" ht="15" customHeight="1">
      <c r="A15" s="24" t="s">
        <v>34</v>
      </c>
      <c r="D15" s="27"/>
      <c r="E15" s="28">
        <f t="shared" si="0"/>
        <v>351</v>
      </c>
      <c r="F15" s="28">
        <f t="shared" si="0"/>
        <v>184</v>
      </c>
      <c r="G15" s="28">
        <f t="shared" si="0"/>
        <v>167</v>
      </c>
      <c r="H15" s="29">
        <v>0</v>
      </c>
      <c r="I15" s="29">
        <v>0</v>
      </c>
      <c r="J15" s="29">
        <v>0</v>
      </c>
      <c r="K15" s="28">
        <v>103</v>
      </c>
      <c r="L15" s="28">
        <v>60</v>
      </c>
      <c r="M15" s="28">
        <v>43</v>
      </c>
      <c r="N15" s="29">
        <v>0</v>
      </c>
      <c r="O15" s="29">
        <v>0</v>
      </c>
      <c r="P15" s="29">
        <v>0</v>
      </c>
      <c r="Q15" s="28">
        <f>107+141</f>
        <v>248</v>
      </c>
      <c r="R15" s="28">
        <f>51+73</f>
        <v>124</v>
      </c>
      <c r="S15" s="28">
        <f>56+68</f>
        <v>124</v>
      </c>
      <c r="U15" s="24" t="s">
        <v>35</v>
      </c>
    </row>
    <row r="16" spans="1:21" s="26" customFormat="1" ht="15" customHeight="1">
      <c r="A16" s="30" t="s">
        <v>36</v>
      </c>
      <c r="D16" s="27"/>
      <c r="E16" s="28">
        <f t="shared" si="0"/>
        <v>7656</v>
      </c>
      <c r="F16" s="28">
        <f t="shared" si="0"/>
        <v>4023</v>
      </c>
      <c r="G16" s="28">
        <f t="shared" si="0"/>
        <v>3633</v>
      </c>
      <c r="H16" s="28">
        <f>2567+2526</f>
        <v>5093</v>
      </c>
      <c r="I16" s="28">
        <f>1360+1368</f>
        <v>2728</v>
      </c>
      <c r="J16" s="28">
        <f>1207+1158</f>
        <v>2365</v>
      </c>
      <c r="K16" s="28">
        <f>1567+432</f>
        <v>1999</v>
      </c>
      <c r="L16" s="28">
        <f>787+224</f>
        <v>1011</v>
      </c>
      <c r="M16" s="28">
        <f>780+208</f>
        <v>988</v>
      </c>
      <c r="N16" s="28">
        <f>257+104+132</f>
        <v>493</v>
      </c>
      <c r="O16" s="28">
        <f>128+50+61</f>
        <v>239</v>
      </c>
      <c r="P16" s="28">
        <f>129+54+71</f>
        <v>254</v>
      </c>
      <c r="Q16" s="28">
        <f>49+22</f>
        <v>71</v>
      </c>
      <c r="R16" s="28">
        <f>28+17</f>
        <v>45</v>
      </c>
      <c r="S16" s="28">
        <f>21+5</f>
        <v>26</v>
      </c>
      <c r="U16" s="24" t="s">
        <v>37</v>
      </c>
    </row>
    <row r="17" spans="1:21" s="26" customFormat="1" ht="15" customHeight="1">
      <c r="A17" s="30" t="s">
        <v>38</v>
      </c>
      <c r="D17" s="27"/>
      <c r="E17" s="28">
        <f t="shared" si="0"/>
        <v>7197</v>
      </c>
      <c r="F17" s="28">
        <f t="shared" si="0"/>
        <v>3743</v>
      </c>
      <c r="G17" s="28">
        <f t="shared" si="0"/>
        <v>3454</v>
      </c>
      <c r="H17" s="28">
        <f>2367+2469</f>
        <v>4836</v>
      </c>
      <c r="I17" s="28">
        <f>1260+1296</f>
        <v>2556</v>
      </c>
      <c r="J17" s="28">
        <f>1107+1173</f>
        <v>2280</v>
      </c>
      <c r="K17" s="28">
        <f>1344+408</f>
        <v>1752</v>
      </c>
      <c r="L17" s="28">
        <f>667+185</f>
        <v>852</v>
      </c>
      <c r="M17" s="28">
        <f>677+223</f>
        <v>900</v>
      </c>
      <c r="N17" s="28">
        <f>255+100+153</f>
        <v>508</v>
      </c>
      <c r="O17" s="28">
        <f>140+54+88</f>
        <v>282</v>
      </c>
      <c r="P17" s="28">
        <f>115+46+65</f>
        <v>226</v>
      </c>
      <c r="Q17" s="28">
        <f>62+39</f>
        <v>101</v>
      </c>
      <c r="R17" s="28">
        <f>32+21</f>
        <v>53</v>
      </c>
      <c r="S17" s="28">
        <f>30+18</f>
        <v>48</v>
      </c>
      <c r="U17" s="24" t="s">
        <v>39</v>
      </c>
    </row>
    <row r="18" spans="1:21" s="26" customFormat="1" ht="15" customHeight="1">
      <c r="A18" s="24" t="s">
        <v>40</v>
      </c>
      <c r="D18" s="27"/>
      <c r="E18" s="28">
        <f t="shared" si="0"/>
        <v>7230</v>
      </c>
      <c r="F18" s="28">
        <f t="shared" si="0"/>
        <v>3684</v>
      </c>
      <c r="G18" s="28">
        <f t="shared" si="0"/>
        <v>3546</v>
      </c>
      <c r="H18" s="28">
        <f>2410+2449</f>
        <v>4859</v>
      </c>
      <c r="I18" s="28">
        <f>1239+1295</f>
        <v>2534</v>
      </c>
      <c r="J18" s="28">
        <f>1171+1154</f>
        <v>2325</v>
      </c>
      <c r="K18" s="28">
        <f>1406+327</f>
        <v>1733</v>
      </c>
      <c r="L18" s="28">
        <f>678+144</f>
        <v>822</v>
      </c>
      <c r="M18" s="28">
        <f>728+183</f>
        <v>911</v>
      </c>
      <c r="N18" s="28">
        <f>267+126+148</f>
        <v>541</v>
      </c>
      <c r="O18" s="28">
        <f>140+64+76</f>
        <v>280</v>
      </c>
      <c r="P18" s="28">
        <f>127+62+72</f>
        <v>261</v>
      </c>
      <c r="Q18" s="28">
        <f>54+43</f>
        <v>97</v>
      </c>
      <c r="R18" s="28">
        <f>27+21</f>
        <v>48</v>
      </c>
      <c r="S18" s="28">
        <f>27+22</f>
        <v>49</v>
      </c>
      <c r="U18" s="24" t="s">
        <v>41</v>
      </c>
    </row>
    <row r="19" spans="1:21" s="26" customFormat="1" ht="15" customHeight="1">
      <c r="A19" s="24" t="s">
        <v>42</v>
      </c>
      <c r="D19" s="27"/>
      <c r="E19" s="28">
        <f t="shared" si="0"/>
        <v>8078</v>
      </c>
      <c r="F19" s="28">
        <f t="shared" si="0"/>
        <v>4212</v>
      </c>
      <c r="G19" s="28">
        <f t="shared" si="0"/>
        <v>3866</v>
      </c>
      <c r="H19" s="28">
        <f>2695+2873</f>
        <v>5568</v>
      </c>
      <c r="I19" s="28">
        <f>1433+1518</f>
        <v>2951</v>
      </c>
      <c r="J19" s="28">
        <f>1262+1355</f>
        <v>2617</v>
      </c>
      <c r="K19" s="28">
        <f>1428+348</f>
        <v>1776</v>
      </c>
      <c r="L19" s="28">
        <f>718+166</f>
        <v>884</v>
      </c>
      <c r="M19" s="28">
        <f>710+182</f>
        <v>892</v>
      </c>
      <c r="N19" s="28">
        <f>334+144+162</f>
        <v>640</v>
      </c>
      <c r="O19" s="28">
        <f>175+77+82</f>
        <v>334</v>
      </c>
      <c r="P19" s="28">
        <f>159+67+80</f>
        <v>306</v>
      </c>
      <c r="Q19" s="28">
        <f>53+41</f>
        <v>94</v>
      </c>
      <c r="R19" s="28">
        <f>26+17</f>
        <v>43</v>
      </c>
      <c r="S19" s="28">
        <f>27+24</f>
        <v>51</v>
      </c>
      <c r="U19" s="24" t="s">
        <v>43</v>
      </c>
    </row>
    <row r="20" spans="1:21" s="26" customFormat="1" ht="15" customHeight="1">
      <c r="A20" s="24" t="s">
        <v>44</v>
      </c>
      <c r="D20" s="27"/>
      <c r="E20" s="28">
        <f t="shared" si="0"/>
        <v>8522</v>
      </c>
      <c r="F20" s="28">
        <f t="shared" si="0"/>
        <v>4474</v>
      </c>
      <c r="G20" s="28">
        <f t="shared" si="0"/>
        <v>4048</v>
      </c>
      <c r="H20" s="28">
        <f>2800+3008</f>
        <v>5808</v>
      </c>
      <c r="I20" s="28">
        <f>1520+1540</f>
        <v>3060</v>
      </c>
      <c r="J20" s="28">
        <f>1280+1468</f>
        <v>2748</v>
      </c>
      <c r="K20" s="28">
        <f>1509+392</f>
        <v>1901</v>
      </c>
      <c r="L20" s="28">
        <f>758+202</f>
        <v>960</v>
      </c>
      <c r="M20" s="28">
        <f>751+190</f>
        <v>941</v>
      </c>
      <c r="N20" s="28">
        <f>362+143+193</f>
        <v>698</v>
      </c>
      <c r="O20" s="28">
        <f>196+85+107</f>
        <v>388</v>
      </c>
      <c r="P20" s="28">
        <f>166+58+86</f>
        <v>310</v>
      </c>
      <c r="Q20" s="28">
        <f>60+55</f>
        <v>115</v>
      </c>
      <c r="R20" s="28">
        <f>34+32</f>
        <v>66</v>
      </c>
      <c r="S20" s="28">
        <f>26+23</f>
        <v>49</v>
      </c>
      <c r="U20" s="24" t="s">
        <v>45</v>
      </c>
    </row>
    <row r="21" spans="1:21" s="26" customFormat="1" ht="15" customHeight="1">
      <c r="A21" s="24" t="s">
        <v>46</v>
      </c>
      <c r="D21" s="27"/>
      <c r="E21" s="28">
        <f t="shared" si="0"/>
        <v>8343</v>
      </c>
      <c r="F21" s="28">
        <f t="shared" si="0"/>
        <v>4313</v>
      </c>
      <c r="G21" s="28">
        <f t="shared" si="0"/>
        <v>4030</v>
      </c>
      <c r="H21" s="28">
        <f>2811+2867</f>
        <v>5678</v>
      </c>
      <c r="I21" s="28">
        <f>1491+1484</f>
        <v>2975</v>
      </c>
      <c r="J21" s="28">
        <f>1320+1383</f>
        <v>2703</v>
      </c>
      <c r="K21" s="28">
        <f>1495+352</f>
        <v>1847</v>
      </c>
      <c r="L21" s="28">
        <f>736+161</f>
        <v>897</v>
      </c>
      <c r="M21" s="28">
        <f>759+191</f>
        <v>950</v>
      </c>
      <c r="N21" s="28">
        <f>339+155+202</f>
        <v>696</v>
      </c>
      <c r="O21" s="28">
        <f>177+88+109</f>
        <v>374</v>
      </c>
      <c r="P21" s="28">
        <f>162+67+93</f>
        <v>322</v>
      </c>
      <c r="Q21" s="28">
        <f>52+70</f>
        <v>122</v>
      </c>
      <c r="R21" s="28">
        <f>27+40</f>
        <v>67</v>
      </c>
      <c r="S21" s="28">
        <f>25+30</f>
        <v>55</v>
      </c>
      <c r="U21" s="24" t="s">
        <v>47</v>
      </c>
    </row>
    <row r="22" spans="1:21" s="26" customFormat="1" ht="15" customHeight="1">
      <c r="A22" s="31" t="s">
        <v>48</v>
      </c>
      <c r="B22" s="32"/>
      <c r="D22" s="27"/>
      <c r="E22" s="28">
        <f t="shared" si="0"/>
        <v>7710</v>
      </c>
      <c r="F22" s="28">
        <f t="shared" si="0"/>
        <v>3835</v>
      </c>
      <c r="G22" s="28">
        <f t="shared" si="0"/>
        <v>3875</v>
      </c>
      <c r="H22" s="28">
        <f>2481+3038</f>
        <v>5519</v>
      </c>
      <c r="I22" s="28">
        <f>1260+1502</f>
        <v>2762</v>
      </c>
      <c r="J22" s="28">
        <f>1221+1536</f>
        <v>2757</v>
      </c>
      <c r="K22" s="28">
        <f>1247+373</f>
        <v>1620</v>
      </c>
      <c r="L22" s="28">
        <f>598+176</f>
        <v>774</v>
      </c>
      <c r="M22" s="28">
        <f>649+197</f>
        <v>846</v>
      </c>
      <c r="N22" s="28">
        <f>327+68+176</f>
        <v>571</v>
      </c>
      <c r="O22" s="28">
        <f>165+45+89</f>
        <v>299</v>
      </c>
      <c r="P22" s="28">
        <f>162+23+87</f>
        <v>272</v>
      </c>
      <c r="Q22" s="29">
        <v>0</v>
      </c>
      <c r="R22" s="29">
        <v>0</v>
      </c>
      <c r="S22" s="29">
        <v>0</v>
      </c>
      <c r="T22" s="32"/>
      <c r="U22" s="30" t="s">
        <v>49</v>
      </c>
    </row>
    <row r="23" spans="1:21" s="26" customFormat="1" ht="15" customHeight="1">
      <c r="A23" s="31" t="s">
        <v>50</v>
      </c>
      <c r="B23" s="32"/>
      <c r="D23" s="27"/>
      <c r="E23" s="28">
        <f t="shared" si="0"/>
        <v>7090</v>
      </c>
      <c r="F23" s="28">
        <f t="shared" si="0"/>
        <v>3549</v>
      </c>
      <c r="G23" s="28">
        <f t="shared" si="0"/>
        <v>3541</v>
      </c>
      <c r="H23" s="28">
        <f>2099+2944</f>
        <v>5043</v>
      </c>
      <c r="I23" s="28">
        <f>1125+1457</f>
        <v>2582</v>
      </c>
      <c r="J23" s="28">
        <f>974+1487</f>
        <v>2461</v>
      </c>
      <c r="K23" s="28">
        <f>1148+408</f>
        <v>1556</v>
      </c>
      <c r="L23" s="28">
        <f>536+158</f>
        <v>694</v>
      </c>
      <c r="M23" s="28">
        <f>612+250</f>
        <v>862</v>
      </c>
      <c r="N23" s="28">
        <f>276+60+155</f>
        <v>491</v>
      </c>
      <c r="O23" s="28">
        <f>163+28+82</f>
        <v>273</v>
      </c>
      <c r="P23" s="28">
        <f>113+32+73</f>
        <v>218</v>
      </c>
      <c r="Q23" s="29">
        <v>0</v>
      </c>
      <c r="R23" s="29">
        <v>0</v>
      </c>
      <c r="S23" s="29">
        <v>0</v>
      </c>
      <c r="T23" s="32"/>
      <c r="U23" s="30" t="s">
        <v>51</v>
      </c>
    </row>
    <row r="24" spans="1:21" s="25" customFormat="1" ht="15" customHeight="1">
      <c r="A24" s="31" t="s">
        <v>52</v>
      </c>
      <c r="B24" s="32"/>
      <c r="C24" s="26"/>
      <c r="D24" s="27"/>
      <c r="E24" s="28">
        <f t="shared" si="0"/>
        <v>6984</v>
      </c>
      <c r="F24" s="28">
        <f t="shared" si="0"/>
        <v>3356</v>
      </c>
      <c r="G24" s="28">
        <f t="shared" si="0"/>
        <v>3628</v>
      </c>
      <c r="H24" s="28">
        <f>2278+2897</f>
        <v>5175</v>
      </c>
      <c r="I24" s="28">
        <f>1183+1334</f>
        <v>2517</v>
      </c>
      <c r="J24" s="28">
        <f>1095+1563</f>
        <v>2658</v>
      </c>
      <c r="K24" s="28">
        <f>1099+280</f>
        <v>1379</v>
      </c>
      <c r="L24" s="28">
        <f>506+105</f>
        <v>611</v>
      </c>
      <c r="M24" s="28">
        <f>593+175</f>
        <v>768</v>
      </c>
      <c r="N24" s="28">
        <f>236+40+154</f>
        <v>430</v>
      </c>
      <c r="O24" s="28">
        <f>141+16+71</f>
        <v>228</v>
      </c>
      <c r="P24" s="28">
        <f>95+24+83</f>
        <v>202</v>
      </c>
      <c r="Q24" s="29">
        <v>0</v>
      </c>
      <c r="R24" s="29">
        <v>0</v>
      </c>
      <c r="S24" s="29">
        <v>0</v>
      </c>
      <c r="T24" s="32"/>
      <c r="U24" s="30" t="s">
        <v>53</v>
      </c>
    </row>
    <row r="25" spans="1:21" s="25" customFormat="1" ht="15" customHeight="1">
      <c r="A25" s="33" t="s">
        <v>54</v>
      </c>
      <c r="B25" s="32"/>
      <c r="C25" s="26"/>
      <c r="D25" s="27"/>
      <c r="E25" s="28">
        <f t="shared" si="0"/>
        <v>3788</v>
      </c>
      <c r="F25" s="28">
        <f t="shared" si="0"/>
        <v>1485</v>
      </c>
      <c r="G25" s="28">
        <f t="shared" si="0"/>
        <v>2303</v>
      </c>
      <c r="H25" s="28">
        <f>1136+2170</f>
        <v>3306</v>
      </c>
      <c r="I25" s="28">
        <f>489+817</f>
        <v>1306</v>
      </c>
      <c r="J25" s="28">
        <f>647+1353</f>
        <v>2000</v>
      </c>
      <c r="K25" s="28">
        <f>402+80</f>
        <v>482</v>
      </c>
      <c r="L25" s="28">
        <f>151+28</f>
        <v>179</v>
      </c>
      <c r="M25" s="28">
        <f>251+52</f>
        <v>303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32"/>
      <c r="U25" s="30" t="s">
        <v>55</v>
      </c>
    </row>
    <row r="26" spans="1:21" s="25" customFormat="1" ht="15" customHeight="1">
      <c r="A26" s="33" t="s">
        <v>56</v>
      </c>
      <c r="B26" s="32"/>
      <c r="C26" s="26"/>
      <c r="D26" s="27"/>
      <c r="E26" s="28">
        <f t="shared" si="0"/>
        <v>3289</v>
      </c>
      <c r="F26" s="28">
        <f t="shared" si="0"/>
        <v>1204</v>
      </c>
      <c r="G26" s="28">
        <f t="shared" si="0"/>
        <v>2085</v>
      </c>
      <c r="H26" s="28">
        <f>884+2079</f>
        <v>2963</v>
      </c>
      <c r="I26" s="28">
        <f>346+763</f>
        <v>1109</v>
      </c>
      <c r="J26" s="28">
        <f>538+1316</f>
        <v>1854</v>
      </c>
      <c r="K26" s="28">
        <f>240+86</f>
        <v>326</v>
      </c>
      <c r="L26" s="28">
        <f>77+18</f>
        <v>95</v>
      </c>
      <c r="M26" s="28">
        <f>163+68</f>
        <v>231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32"/>
      <c r="U26" s="30" t="s">
        <v>57</v>
      </c>
    </row>
    <row r="27" spans="1:21" s="25" customFormat="1" ht="15" customHeight="1">
      <c r="A27" s="34" t="s">
        <v>58</v>
      </c>
      <c r="B27" s="35"/>
      <c r="C27" s="36"/>
      <c r="D27" s="37"/>
      <c r="E27" s="38">
        <f t="shared" si="0"/>
        <v>3030</v>
      </c>
      <c r="F27" s="39">
        <f t="shared" si="0"/>
        <v>1186</v>
      </c>
      <c r="G27" s="39">
        <f t="shared" si="0"/>
        <v>1844</v>
      </c>
      <c r="H27" s="39">
        <f>806+2003</f>
        <v>2809</v>
      </c>
      <c r="I27" s="39">
        <f>323+787</f>
        <v>1110</v>
      </c>
      <c r="J27" s="39">
        <f>483+1216</f>
        <v>1699</v>
      </c>
      <c r="K27" s="39">
        <v>221</v>
      </c>
      <c r="L27" s="39">
        <v>76</v>
      </c>
      <c r="M27" s="39">
        <v>145</v>
      </c>
      <c r="N27" s="40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35"/>
      <c r="U27" s="42" t="s">
        <v>59</v>
      </c>
    </row>
    <row r="28" spans="1:12" s="43" customFormat="1" ht="18" customHeight="1">
      <c r="A28" s="7"/>
      <c r="B28" s="7" t="s">
        <v>60</v>
      </c>
      <c r="C28" s="7"/>
      <c r="D28" s="7"/>
      <c r="E28" s="7"/>
      <c r="F28" s="7"/>
      <c r="H28" s="7"/>
      <c r="I28" s="7"/>
      <c r="J28" s="7"/>
      <c r="L28" s="7" t="s">
        <v>61</v>
      </c>
    </row>
    <row r="29" spans="3:12" ht="16.5" customHeight="1">
      <c r="C29" s="43" t="s">
        <v>62</v>
      </c>
      <c r="I29" s="44"/>
      <c r="J29" s="44"/>
      <c r="K29" s="45"/>
      <c r="L29" s="44" t="s">
        <v>63</v>
      </c>
    </row>
    <row r="30" spans="3:12" ht="16.5" customHeight="1">
      <c r="C30" s="43" t="s">
        <v>64</v>
      </c>
      <c r="D30" s="7" t="s">
        <v>65</v>
      </c>
      <c r="I30" s="44"/>
      <c r="J30" s="44"/>
      <c r="K30" s="45"/>
      <c r="L30" s="44" t="s">
        <v>66</v>
      </c>
    </row>
    <row r="31" spans="2:12" ht="18.75" customHeight="1">
      <c r="B31" s="43"/>
      <c r="C31" s="43" t="s">
        <v>67</v>
      </c>
      <c r="D31" s="43"/>
      <c r="E31" s="43"/>
      <c r="F31" s="43"/>
      <c r="G31" s="43"/>
      <c r="H31" s="43"/>
      <c r="I31" s="43"/>
      <c r="J31" s="43"/>
      <c r="K31" s="43"/>
      <c r="L31" s="43" t="s">
        <v>68</v>
      </c>
    </row>
    <row r="32" spans="3:12" ht="17.25" customHeight="1">
      <c r="C32" s="43" t="s">
        <v>69</v>
      </c>
      <c r="L32" s="43" t="s">
        <v>70</v>
      </c>
    </row>
  </sheetData>
  <sheetProtection/>
  <mergeCells count="21">
    <mergeCell ref="E6:G6"/>
    <mergeCell ref="H6:J6"/>
    <mergeCell ref="K6:M6"/>
    <mergeCell ref="N6:P6"/>
    <mergeCell ref="Q6:S6"/>
    <mergeCell ref="H7:J7"/>
    <mergeCell ref="K7:M7"/>
    <mergeCell ref="N7:P7"/>
    <mergeCell ref="Q7:S7"/>
    <mergeCell ref="N5:P5"/>
    <mergeCell ref="Q5:S5"/>
    <mergeCell ref="H8:J8"/>
    <mergeCell ref="K8:M8"/>
    <mergeCell ref="N8:P8"/>
    <mergeCell ref="A11:D11"/>
    <mergeCell ref="A3:D10"/>
    <mergeCell ref="H3:S3"/>
    <mergeCell ref="K4:M4"/>
    <mergeCell ref="E5:G5"/>
    <mergeCell ref="H5:J5"/>
    <mergeCell ref="K5:M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2003-01-15T21:26:29Z</dcterms:created>
  <dcterms:modified xsi:type="dcterms:W3CDTF">2008-10-16T02:45:00Z</dcterms:modified>
  <cp:category/>
  <cp:version/>
  <cp:contentType/>
  <cp:contentStatus/>
</cp:coreProperties>
</file>