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435" activeTab="0"/>
  </bookViews>
  <sheets>
    <sheet name="T-1.2" sheetId="1" r:id="rId1"/>
  </sheets>
  <definedNames/>
  <calcPr fullCalcOnLoad="1"/>
</workbook>
</file>

<file path=xl/sharedStrings.xml><?xml version="1.0" encoding="utf-8"?>
<sst xmlns="http://schemas.openxmlformats.org/spreadsheetml/2006/main" count="205" uniqueCount="87">
  <si>
    <t>ตาราง</t>
  </si>
  <si>
    <t>TABLE</t>
  </si>
  <si>
    <t>จำนวนประชากร</t>
  </si>
  <si>
    <t>Total</t>
  </si>
  <si>
    <t>Number of population</t>
  </si>
  <si>
    <t xml:space="preserve">        ที่มา:  ที่ทำการปกครองจังหวัด_ _ _ _ _ _ _ _</t>
  </si>
  <si>
    <t>ยอดรวม</t>
  </si>
  <si>
    <t>อัตราการเปลี่ยนแปลง (%)</t>
  </si>
  <si>
    <t>Percent  change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</si>
  <si>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</si>
  <si>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</si>
  <si>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</si>
  <si>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</si>
  <si>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</si>
  <si>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</si>
  <si>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</si>
  <si>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</si>
  <si>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</si>
  <si>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</si>
  <si>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</si>
  <si>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</si>
  <si>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</si>
  <si>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</si>
  <si>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</si>
  <si>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</si>
  <si>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</si>
  <si>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</si>
  <si>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(2004)</t>
  </si>
  <si>
    <t>-</t>
  </si>
  <si>
    <t>ความหนาแน่นของประชากร (ต่อ ตร.กม.)</t>
  </si>
  <si>
    <t>Population density (Per sq.km.)</t>
  </si>
  <si>
    <t>(2005)</t>
  </si>
  <si>
    <t>(2006)</t>
  </si>
  <si>
    <t xml:space="preserve">        ที่มา:  กรมการปกครอง กระทรวงมหาดไทย</t>
  </si>
  <si>
    <t>(2007)</t>
  </si>
  <si>
    <t>Khao Khitchakut  District</t>
  </si>
  <si>
    <t xml:space="preserve"> อำเภอ</t>
  </si>
  <si>
    <t>District</t>
  </si>
  <si>
    <t xml:space="preserve">   ในเขตเทศบาล</t>
  </si>
  <si>
    <t xml:space="preserve">   นอกเขตเทศบาล</t>
  </si>
  <si>
    <t xml:space="preserve">   เทศบาลเมืองจันทบุรี</t>
  </si>
  <si>
    <t xml:space="preserve">   เทศบาลตำบลจันทนิมิต</t>
  </si>
  <si>
    <t xml:space="preserve">   เทศบาลตำบลบางกะจะ</t>
  </si>
  <si>
    <t xml:space="preserve">   เทศบาลตำบลพลับพลานารายณ์</t>
  </si>
  <si>
    <t xml:space="preserve">   เทศบาลตำบลหนองบัว</t>
  </si>
  <si>
    <t xml:space="preserve">   เทศบาลเมืองขลุง</t>
  </si>
  <si>
    <t xml:space="preserve">   เทศบาลตำบลท่าใหม่</t>
  </si>
  <si>
    <t xml:space="preserve">   เทศบาลตำบลเนินสูง</t>
  </si>
  <si>
    <t xml:space="preserve">   เทศบาลตำบลหนองคล้า</t>
  </si>
  <si>
    <t xml:space="preserve">   Municiple area</t>
  </si>
  <si>
    <t xml:space="preserve">   Non - Municiple area</t>
  </si>
  <si>
    <t xml:space="preserve">   Chanthaburi Town Munitcipality</t>
  </si>
  <si>
    <t xml:space="preserve">   Chanthanimit Subdistrict Munitcipality</t>
  </si>
  <si>
    <t xml:space="preserve">   Bang Kacha Subdistrict Munitcipality</t>
  </si>
  <si>
    <t xml:space="preserve">   Phlap Phla Naria Subdistrict Munitcipality</t>
  </si>
  <si>
    <t xml:space="preserve">   Nong Bua Subdistrict Munitcipality</t>
  </si>
  <si>
    <t xml:space="preserve">   Khlung Town Munitcipality</t>
  </si>
  <si>
    <t xml:space="preserve">   Tha Mai District Subdistrict Munitcipality</t>
  </si>
  <si>
    <t xml:space="preserve">   Noen Sung Subdistrict Munitcipality</t>
  </si>
  <si>
    <t xml:space="preserve">   Nong Khla Subdistrict Munitcipality</t>
  </si>
  <si>
    <t xml:space="preserve">   เทศบาลตำบลโป่งน้ำร้อน</t>
  </si>
  <si>
    <t xml:space="preserve">   เทศบาลตำบลมะขาม</t>
  </si>
  <si>
    <t xml:space="preserve">   เทศบาลตำบลปากน้ำแหลมสิงห์</t>
  </si>
  <si>
    <t xml:space="preserve">   เทศบาลตำบลพลิ้ว</t>
  </si>
  <si>
    <t xml:space="preserve">   เทศบาลตำบลทรายขาว</t>
  </si>
  <si>
    <t xml:space="preserve">   เทศบาลตำบลนายายอาม</t>
  </si>
  <si>
    <t>อำเภอเขาคิชฌกูฏ</t>
  </si>
  <si>
    <t xml:space="preserve">    Source:   Department of Local Administration, Ministry of Interior</t>
  </si>
  <si>
    <t xml:space="preserve">   Pong Nam Ron Subdistrict Munitcipality</t>
  </si>
  <si>
    <t xml:space="preserve">   Nakham Subdistrict Munitcipality</t>
  </si>
  <si>
    <t xml:space="preserve">   Pak Nom Leam Sing Subdistrict Munitcipality</t>
  </si>
  <si>
    <t xml:space="preserve">   Phliu Subdistrict Munitcipality</t>
  </si>
  <si>
    <t xml:space="preserve">   Sai Khao Subdistrict Munitcipality</t>
  </si>
  <si>
    <t xml:space="preserve">   Na Yai Am Subdistrict Munitcipality</t>
  </si>
  <si>
    <t xml:space="preserve">   เทศบาลตำบลบ่อเวฬุ</t>
  </si>
  <si>
    <t xml:space="preserve">   เทศบาลตำบลทับช้าง</t>
  </si>
  <si>
    <t xml:space="preserve">   เทศบาลตำบลพลวง</t>
  </si>
  <si>
    <t>(2008)</t>
  </si>
  <si>
    <t xml:space="preserve">   Borwen Subdistrict Munitcipality</t>
  </si>
  <si>
    <t xml:space="preserve">   Tubchang  Subdistrict Munitcipality</t>
  </si>
  <si>
    <t xml:space="preserve">  Pluang  Subdistrict Munitcipality</t>
  </si>
  <si>
    <t xml:space="preserve">   เทศบาลเมืองท่าช้าง</t>
  </si>
  <si>
    <t xml:space="preserve">   Tha Chang Town Munitcipality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</si>
  <si>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พ.ศ.2547 - 2551</t>
  </si>
  <si>
    <t>NUMBER OF POPULATION FROM REGISTRATION RECORD, PERCENT CHANGE AND DENSITY BY DISTRICT: 2004 - 2008</t>
  </si>
  <si>
    <t>จำนวนประชากรจากการทะเบียน อัตราการเปลี่ยนแปลง  และความหนาแน่นของประชากร จำแนกเป็นรายอำเภอ พ.ศ.2547 - 2551 (ต่อ)</t>
  </si>
  <si>
    <t>NUMBER OF POPULATION FROM REGISTRATION RECORD, PERCENT CHANGE AND DENSITY BY DISTRICT: 2004 - 2008 (CONTD.)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</si>
</sst>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</numFmts>
  <fonts count="27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b/>
      <sz val="13"/>
      <color indexed="8"/>
      <name val="AngsanaUPC"/>
      <family val="1"/>
    </font>
    <font>
      <sz val="13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15" fillId="0" borderId="3" applyNumberFormat="0" applyFill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1" fillId="2" borderId="5" applyNumberFormat="0" applyAlignment="0" applyProtection="0"/>
    <xf numFmtId="0" fontId="0" fillId="4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37</xdr:row>
      <xdr:rowOff>66675</xdr:rowOff>
    </xdr:from>
    <xdr:to>
      <xdr:col>21</xdr:col>
      <xdr:colOff>504825</xdr:colOff>
      <xdr:row>38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1106150" y="996315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D18" sqref="D18"/>
    </sheetView>
  </sheetViews>
  <sheetFormatPr defaultColWidth="9.140625" defaultRowHeight="21.75" customHeight="1"/>
  <cols>
    <col min="1" max="1" width="0.5625" style="6" customWidth="1"/>
    <col min="2" max="2" width="6.57421875" style="6" customWidth="1"/>
    <col min="3" max="3" width="4.00390625" style="6" customWidth="1"/>
    <col min="4" max="4" width="13.57421875" style="6" customWidth="1"/>
    <col min="5" max="7" width="6.8515625" style="6" customWidth="1"/>
    <col min="8" max="8" width="7.00390625" style="6" customWidth="1"/>
    <col min="9" max="9" width="6.8515625" style="6" customWidth="1"/>
    <col min="10" max="14" width="6.7109375" style="6" customWidth="1"/>
    <col min="15" max="18" width="7.28125" style="6" customWidth="1"/>
    <col min="19" max="19" width="7.8515625" style="6" customWidth="1"/>
    <col min="20" max="20" width="0.85546875" style="6" customWidth="1"/>
    <col min="21" max="21" width="32.140625" style="6" customWidth="1"/>
    <col min="22" max="22" width="8.140625" style="6" customWidth="1"/>
    <col min="23" max="16384" width="9.140625" style="6" customWidth="1"/>
  </cols>
  <sheetData>
    <row r="1" spans="2:19" s="1" customFormat="1" ht="21.75" customHeight="1">
      <c r="B1" s="1" t="s">
        <v>0</v>
      </c>
      <c r="C1" s="2">
        <v>1.2</v>
      </c>
      <c r="D1" s="23" t="s">
        <v>83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s="1" customFormat="1" ht="21.75" customHeight="1">
      <c r="B2" s="1" t="s">
        <v>1</v>
      </c>
      <c r="C2" s="2">
        <v>1.2</v>
      </c>
      <c r="D2" s="23" t="s">
        <v>84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3:19" s="1" customFormat="1" ht="13.5" customHeight="1">
      <c r="C3" s="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1" ht="21.75" customHeight="1">
      <c r="A4" s="85" t="s">
        <v>36</v>
      </c>
      <c r="B4" s="85"/>
      <c r="C4" s="85"/>
      <c r="D4" s="90"/>
      <c r="E4" s="83" t="s">
        <v>2</v>
      </c>
      <c r="F4" s="93"/>
      <c r="G4" s="93"/>
      <c r="H4" s="93"/>
      <c r="I4" s="94"/>
      <c r="J4" s="83" t="s">
        <v>7</v>
      </c>
      <c r="K4" s="93"/>
      <c r="L4" s="93"/>
      <c r="M4" s="93"/>
      <c r="N4" s="94"/>
      <c r="O4" s="83" t="s">
        <v>29</v>
      </c>
      <c r="P4" s="93"/>
      <c r="Q4" s="93"/>
      <c r="R4" s="93"/>
      <c r="S4" s="94"/>
      <c r="T4" s="84" t="s">
        <v>37</v>
      </c>
      <c r="U4" s="85"/>
    </row>
    <row r="5" spans="1:21" ht="21.75" customHeight="1">
      <c r="A5" s="87"/>
      <c r="B5" s="87"/>
      <c r="C5" s="87"/>
      <c r="D5" s="91"/>
      <c r="E5" s="95" t="s">
        <v>4</v>
      </c>
      <c r="F5" s="96"/>
      <c r="G5" s="96"/>
      <c r="H5" s="96"/>
      <c r="I5" s="97"/>
      <c r="J5" s="95" t="s">
        <v>8</v>
      </c>
      <c r="K5" s="96"/>
      <c r="L5" s="96"/>
      <c r="M5" s="96"/>
      <c r="N5" s="97"/>
      <c r="O5" s="95" t="s">
        <v>30</v>
      </c>
      <c r="P5" s="96"/>
      <c r="Q5" s="96"/>
      <c r="R5" s="96"/>
      <c r="S5" s="97"/>
      <c r="T5" s="86"/>
      <c r="U5" s="87"/>
    </row>
    <row r="6" spans="1:21" ht="21.75" customHeight="1">
      <c r="A6" s="87"/>
      <c r="B6" s="87"/>
      <c r="C6" s="87"/>
      <c r="D6" s="91"/>
      <c r="E6" s="24">
        <v>2547</v>
      </c>
      <c r="F6" s="24">
        <v>2548</v>
      </c>
      <c r="G6" s="24">
        <v>2549</v>
      </c>
      <c r="H6" s="24">
        <v>2550</v>
      </c>
      <c r="I6" s="24">
        <v>2551</v>
      </c>
      <c r="J6" s="24">
        <v>2547</v>
      </c>
      <c r="K6" s="24">
        <v>2548</v>
      </c>
      <c r="L6" s="24">
        <v>2549</v>
      </c>
      <c r="M6" s="28">
        <v>2550</v>
      </c>
      <c r="N6" s="28">
        <v>2551</v>
      </c>
      <c r="O6" s="24">
        <v>2547</v>
      </c>
      <c r="P6" s="24">
        <v>2548</v>
      </c>
      <c r="Q6" s="24">
        <v>2549</v>
      </c>
      <c r="R6" s="28">
        <v>2550</v>
      </c>
      <c r="S6" s="28">
        <v>2551</v>
      </c>
      <c r="T6" s="86"/>
      <c r="U6" s="87"/>
    </row>
    <row r="7" spans="1:21" ht="21.75" customHeight="1">
      <c r="A7" s="89"/>
      <c r="B7" s="89"/>
      <c r="C7" s="89"/>
      <c r="D7" s="92"/>
      <c r="E7" s="27" t="s">
        <v>27</v>
      </c>
      <c r="F7" s="27" t="s">
        <v>31</v>
      </c>
      <c r="G7" s="27" t="s">
        <v>32</v>
      </c>
      <c r="H7" s="27" t="s">
        <v>34</v>
      </c>
      <c r="I7" s="27" t="s">
        <v>77</v>
      </c>
      <c r="J7" s="27" t="s">
        <v>27</v>
      </c>
      <c r="K7" s="27" t="s">
        <v>31</v>
      </c>
      <c r="L7" s="27" t="s">
        <v>32</v>
      </c>
      <c r="M7" s="27" t="s">
        <v>34</v>
      </c>
      <c r="N7" s="27" t="s">
        <v>77</v>
      </c>
      <c r="O7" s="27" t="s">
        <v>27</v>
      </c>
      <c r="P7" s="27" t="s">
        <v>31</v>
      </c>
      <c r="Q7" s="27" t="s">
        <v>32</v>
      </c>
      <c r="R7" s="27" t="s">
        <v>34</v>
      </c>
      <c r="S7" s="27" t="s">
        <v>77</v>
      </c>
      <c r="T7" s="88"/>
      <c r="U7" s="89"/>
    </row>
    <row r="8" spans="1:21" s="4" customFormat="1" ht="21.75" customHeight="1">
      <c r="A8" s="81" t="s">
        <v>6</v>
      </c>
      <c r="B8" s="81"/>
      <c r="C8" s="81"/>
      <c r="D8" s="82"/>
      <c r="E8" s="63">
        <f>E9+E10</f>
        <v>494001</v>
      </c>
      <c r="F8" s="63">
        <f>F9+F10</f>
        <v>498159</v>
      </c>
      <c r="G8" s="63">
        <f>G9+G10</f>
        <v>502389</v>
      </c>
      <c r="H8" s="63">
        <f>H9+H10</f>
        <v>504003</v>
      </c>
      <c r="I8" s="64">
        <f>I9+I10</f>
        <v>508020</v>
      </c>
      <c r="J8" s="65">
        <v>-3.4375384831905422</v>
      </c>
      <c r="K8" s="65">
        <v>0.8416987010147753</v>
      </c>
      <c r="L8" s="65">
        <v>0.8491264837130313</v>
      </c>
      <c r="M8" s="65">
        <v>0.32126499584982954</v>
      </c>
      <c r="N8" s="65">
        <f>SUM((I8-H8)/H8)*100</f>
        <v>0.7970190653627063</v>
      </c>
      <c r="O8" s="66">
        <v>77.94</v>
      </c>
      <c r="P8" s="66">
        <v>78.6</v>
      </c>
      <c r="Q8" s="66">
        <v>79.27</v>
      </c>
      <c r="R8" s="66">
        <v>79.52</v>
      </c>
      <c r="S8" s="66">
        <f>SUM(I8/6338)</f>
        <v>80.15462290943515</v>
      </c>
      <c r="T8" s="81" t="s">
        <v>3</v>
      </c>
      <c r="U8" s="81"/>
    </row>
    <row r="9" spans="2:21" s="4" customFormat="1" ht="21.75" customHeight="1">
      <c r="B9" s="29" t="s">
        <v>38</v>
      </c>
      <c r="E9" s="63">
        <f>E12+E14+E13+E15+E16+E17+E20+E35+E36+E37+E40+E43+E46+E47+E61+E66</f>
        <v>138331</v>
      </c>
      <c r="F9" s="63">
        <f>F12+F14+F13+F15+F16+F17+F20+F35+F36+F37+F40+F43+F46+F47+F61+F66</f>
        <v>138398</v>
      </c>
      <c r="G9" s="63">
        <f>G12+G14+G13+G15+G16+G17+G20+G35+G36+G37+G40+G43+G46+G47+G61+G66</f>
        <v>139216</v>
      </c>
      <c r="H9" s="63">
        <f>H12+H14+H13+H15+H16+H17+H20+H35+H36+H37+H40+H43+H46+H47+H61+H66</f>
        <v>139553</v>
      </c>
      <c r="I9" s="63">
        <f>I12+I14+I13+I15+I16+I17+I20+I21+I35+I36+I37+I40+I43+I46+I47+I61+I62+I66+I69</f>
        <v>166164</v>
      </c>
      <c r="J9" s="65">
        <v>-9.259016307413773</v>
      </c>
      <c r="K9" s="65">
        <v>0.04843455190810447</v>
      </c>
      <c r="L9" s="65">
        <v>0.5910490035983179</v>
      </c>
      <c r="M9" s="65">
        <v>0.24206987702562924</v>
      </c>
      <c r="N9" s="65">
        <f aca="true" t="shared" si="0" ref="N9:N18">SUM((I9-H9)/H9)*100</f>
        <v>19.06874090847205</v>
      </c>
      <c r="O9" s="67">
        <v>512.4</v>
      </c>
      <c r="P9" s="67">
        <v>50.9</v>
      </c>
      <c r="Q9" s="67">
        <v>515.62</v>
      </c>
      <c r="R9" s="67">
        <v>516.94</v>
      </c>
      <c r="S9" s="67">
        <f>SUM(I9/806.21)</f>
        <v>206.10510909068356</v>
      </c>
      <c r="U9" s="19" t="s">
        <v>49</v>
      </c>
    </row>
    <row r="10" spans="2:21" s="4" customFormat="1" ht="21.75" customHeight="1">
      <c r="B10" s="29" t="s">
        <v>39</v>
      </c>
      <c r="E10" s="63">
        <f>E18+E22+E38+E41+E44+E48+E63+E64+E67+E70</f>
        <v>355670</v>
      </c>
      <c r="F10" s="63">
        <f>F18+F22+F38+F41+F44+F48+F63+F64+F67+F70</f>
        <v>359761</v>
      </c>
      <c r="G10" s="63">
        <f>G18+G22+G38+G41+G44+G48+G63+G64+G67+G70</f>
        <v>363173</v>
      </c>
      <c r="H10" s="63">
        <f>H18+H22+H38+H41+H44+H48+H63+H64+H67+H70</f>
        <v>364450</v>
      </c>
      <c r="I10" s="63">
        <f>I18+I22+I38+I41+I44+I48+I63+I64+I67+I70</f>
        <v>341856</v>
      </c>
      <c r="J10" s="65">
        <v>-0.9664727781010801</v>
      </c>
      <c r="K10" s="65">
        <v>1.1502235218039194</v>
      </c>
      <c r="L10" s="65">
        <v>0.9484074149226848</v>
      </c>
      <c r="M10" s="65">
        <v>0.35162305567869856</v>
      </c>
      <c r="N10" s="65">
        <f t="shared" si="0"/>
        <v>-6.199478666483742</v>
      </c>
      <c r="O10" s="67">
        <v>58.61</v>
      </c>
      <c r="P10" s="67">
        <v>99.41</v>
      </c>
      <c r="Q10" s="67">
        <v>59.85</v>
      </c>
      <c r="R10" s="67">
        <v>60.06</v>
      </c>
      <c r="S10" s="67">
        <f>SUM(I10/5531.786)</f>
        <v>61.79848605857132</v>
      </c>
      <c r="U10" s="19" t="s">
        <v>50</v>
      </c>
    </row>
    <row r="11" spans="2:21" s="4" customFormat="1" ht="21.75" customHeight="1">
      <c r="B11" s="8" t="s">
        <v>9</v>
      </c>
      <c r="E11" s="63">
        <f>E12+E14+E13+E15+E16+E17+E18</f>
        <v>118018</v>
      </c>
      <c r="F11" s="63">
        <f>F12+F14+F13+F15+F16+F17+F18</f>
        <v>119203</v>
      </c>
      <c r="G11" s="63">
        <f>G12+G14+G13+G15+G16+G17+G18</f>
        <v>120899</v>
      </c>
      <c r="H11" s="63">
        <f>H12+H14+H13+H15+H16+H17+H18</f>
        <v>122553</v>
      </c>
      <c r="I11" s="63">
        <f>I12+I14+I13+I15+I16+I17+I18</f>
        <v>123339</v>
      </c>
      <c r="J11" s="65">
        <v>-11.014431559422738</v>
      </c>
      <c r="K11" s="65">
        <v>1.0040841227609347</v>
      </c>
      <c r="L11" s="65">
        <v>1.4227829836497403</v>
      </c>
      <c r="M11" s="65">
        <v>1.3680841032597457</v>
      </c>
      <c r="N11" s="65">
        <f t="shared" si="0"/>
        <v>0.6413551687841179</v>
      </c>
      <c r="O11" s="67">
        <v>466.3</v>
      </c>
      <c r="P11" s="67">
        <v>470.98</v>
      </c>
      <c r="Q11" s="67">
        <v>477.69</v>
      </c>
      <c r="R11" s="67">
        <v>484.22</v>
      </c>
      <c r="S11" s="67">
        <f>SUM(I11/253.1)</f>
        <v>487.31331489529833</v>
      </c>
      <c r="U11" s="4" t="s">
        <v>18</v>
      </c>
    </row>
    <row r="12" spans="2:21" ht="21.75" customHeight="1">
      <c r="B12" s="20" t="s">
        <v>40</v>
      </c>
      <c r="E12" s="68">
        <v>28273</v>
      </c>
      <c r="F12" s="68">
        <v>27602</v>
      </c>
      <c r="G12" s="68">
        <v>27477</v>
      </c>
      <c r="H12" s="68">
        <v>27369</v>
      </c>
      <c r="I12" s="69">
        <v>26987</v>
      </c>
      <c r="J12" s="70">
        <v>-35.551300462741345</v>
      </c>
      <c r="K12" s="70">
        <v>-2.373289003643052</v>
      </c>
      <c r="L12" s="70">
        <v>-0.45286573436707483</v>
      </c>
      <c r="M12" s="70">
        <v>-0.39305601048149363</v>
      </c>
      <c r="N12" s="70">
        <f t="shared" si="0"/>
        <v>-1.3957397055062297</v>
      </c>
      <c r="O12" s="47">
        <v>2758.34</v>
      </c>
      <c r="P12" s="47">
        <v>2692.88</v>
      </c>
      <c r="Q12" s="47">
        <v>2680.69</v>
      </c>
      <c r="R12" s="47">
        <v>2670.15</v>
      </c>
      <c r="S12" s="47">
        <f>SUM(I12/10.25)</f>
        <v>2632.878048780488</v>
      </c>
      <c r="U12" s="13" t="s">
        <v>51</v>
      </c>
    </row>
    <row r="13" spans="2:21" ht="21.75" customHeight="1">
      <c r="B13" s="20" t="s">
        <v>81</v>
      </c>
      <c r="E13" s="68">
        <v>11622</v>
      </c>
      <c r="F13" s="68">
        <v>11897</v>
      </c>
      <c r="G13" s="68">
        <v>12156</v>
      </c>
      <c r="H13" s="68">
        <v>12453</v>
      </c>
      <c r="I13" s="69">
        <v>12602</v>
      </c>
      <c r="J13" s="70">
        <v>3.3158502978042494</v>
      </c>
      <c r="K13" s="70">
        <v>2.3662020306315608</v>
      </c>
      <c r="L13" s="70">
        <v>2.177019416659662</v>
      </c>
      <c r="M13" s="70">
        <v>2.443237907206318</v>
      </c>
      <c r="N13" s="70">
        <f t="shared" si="0"/>
        <v>1.1964988356219386</v>
      </c>
      <c r="O13" s="47">
        <v>989.11</v>
      </c>
      <c r="P13" s="47">
        <v>1012.51</v>
      </c>
      <c r="Q13" s="47">
        <v>1034.55</v>
      </c>
      <c r="R13" s="47">
        <v>1059.83</v>
      </c>
      <c r="S13" s="47">
        <f>SUM(I13/11.75)</f>
        <v>1072.5106382978724</v>
      </c>
      <c r="U13" s="13" t="s">
        <v>82</v>
      </c>
    </row>
    <row r="14" spans="2:21" ht="21.75" customHeight="1">
      <c r="B14" s="20" t="s">
        <v>41</v>
      </c>
      <c r="E14" s="68">
        <v>14114</v>
      </c>
      <c r="F14" s="68">
        <v>14153</v>
      </c>
      <c r="G14" s="68">
        <v>14210</v>
      </c>
      <c r="H14" s="68">
        <v>14024</v>
      </c>
      <c r="I14" s="69">
        <v>13866</v>
      </c>
      <c r="J14" s="70">
        <v>0.9874069834001145</v>
      </c>
      <c r="K14" s="70">
        <v>0.2763213830239479</v>
      </c>
      <c r="L14" s="70">
        <v>0.4027414682399491</v>
      </c>
      <c r="M14" s="70">
        <v>-1.3089373680506686</v>
      </c>
      <c r="N14" s="70">
        <f t="shared" si="0"/>
        <v>-1.1266400456360526</v>
      </c>
      <c r="O14" s="47">
        <v>1987.89</v>
      </c>
      <c r="P14" s="47">
        <v>1993.38</v>
      </c>
      <c r="Q14" s="47">
        <v>2001.41</v>
      </c>
      <c r="R14" s="47">
        <v>1975.21</v>
      </c>
      <c r="S14" s="47">
        <f>SUM(I14/7.1)</f>
        <v>1952.9577464788733</v>
      </c>
      <c r="U14" s="13" t="s">
        <v>52</v>
      </c>
    </row>
    <row r="15" spans="2:21" ht="21.75" customHeight="1">
      <c r="B15" s="20" t="s">
        <v>42</v>
      </c>
      <c r="E15" s="68">
        <v>4590</v>
      </c>
      <c r="F15" s="68">
        <v>4666</v>
      </c>
      <c r="G15" s="68">
        <v>4716</v>
      </c>
      <c r="H15" s="68">
        <v>4813</v>
      </c>
      <c r="I15" s="69">
        <v>4831</v>
      </c>
      <c r="J15" s="70">
        <v>1.235112483458315</v>
      </c>
      <c r="K15" s="70">
        <v>1.6557734204793029</v>
      </c>
      <c r="L15" s="70">
        <v>1.0715816545220747</v>
      </c>
      <c r="M15" s="70">
        <v>2.056827820186599</v>
      </c>
      <c r="N15" s="70">
        <f t="shared" si="0"/>
        <v>0.3739871182214835</v>
      </c>
      <c r="O15" s="47">
        <v>510</v>
      </c>
      <c r="P15" s="47">
        <v>518.44</v>
      </c>
      <c r="Q15" s="47">
        <v>524</v>
      </c>
      <c r="R15" s="47">
        <v>534.78</v>
      </c>
      <c r="S15" s="47">
        <f>SUM(I15/9)</f>
        <v>536.7777777777778</v>
      </c>
      <c r="U15" s="13" t="s">
        <v>53</v>
      </c>
    </row>
    <row r="16" spans="1:21" ht="21.75" customHeight="1">
      <c r="A16" s="13"/>
      <c r="B16" s="20" t="s">
        <v>43</v>
      </c>
      <c r="C16" s="13"/>
      <c r="D16" s="14"/>
      <c r="E16" s="68">
        <v>9648</v>
      </c>
      <c r="F16" s="68">
        <v>9880</v>
      </c>
      <c r="G16" s="68">
        <v>10062</v>
      </c>
      <c r="H16" s="68">
        <v>10398</v>
      </c>
      <c r="I16" s="69">
        <v>10482</v>
      </c>
      <c r="J16" s="70">
        <v>3.7642503764250375</v>
      </c>
      <c r="K16" s="70">
        <v>2.4046434494195688</v>
      </c>
      <c r="L16" s="70">
        <v>1.8421052631578947</v>
      </c>
      <c r="M16" s="70">
        <v>3.3392963625521763</v>
      </c>
      <c r="N16" s="70">
        <f t="shared" si="0"/>
        <v>0.8078476630121176</v>
      </c>
      <c r="O16" s="47">
        <v>747.91</v>
      </c>
      <c r="P16" s="47">
        <v>765.89</v>
      </c>
      <c r="Q16" s="47">
        <v>780</v>
      </c>
      <c r="R16" s="47">
        <v>806.05</v>
      </c>
      <c r="S16" s="47">
        <f>SUM(I16/12.9)</f>
        <v>812.5581395348837</v>
      </c>
      <c r="U16" s="13" t="s">
        <v>54</v>
      </c>
    </row>
    <row r="17" spans="2:21" ht="21.75" customHeight="1">
      <c r="B17" s="20" t="s">
        <v>44</v>
      </c>
      <c r="E17" s="68">
        <v>2457</v>
      </c>
      <c r="F17" s="68">
        <v>2515</v>
      </c>
      <c r="G17" s="68">
        <v>2535</v>
      </c>
      <c r="H17" s="68">
        <v>2518</v>
      </c>
      <c r="I17" s="69">
        <v>2540</v>
      </c>
      <c r="J17" s="70">
        <v>0</v>
      </c>
      <c r="K17" s="70">
        <v>2.3606023606023605</v>
      </c>
      <c r="L17" s="70">
        <v>0.7952286282306164</v>
      </c>
      <c r="M17" s="70">
        <v>-0.6706114398422091</v>
      </c>
      <c r="N17" s="70">
        <f t="shared" si="0"/>
        <v>0.8737092930897538</v>
      </c>
      <c r="O17" s="47">
        <v>1023.75</v>
      </c>
      <c r="P17" s="47">
        <v>1047.92</v>
      </c>
      <c r="Q17" s="47">
        <v>1056.25</v>
      </c>
      <c r="R17" s="47">
        <v>1049.17</v>
      </c>
      <c r="S17" s="47">
        <f>SUM(I17/2.4)</f>
        <v>1058.3333333333335</v>
      </c>
      <c r="U17" s="13" t="s">
        <v>55</v>
      </c>
    </row>
    <row r="18" spans="2:21" ht="21.75" customHeight="1">
      <c r="B18" s="20" t="s">
        <v>39</v>
      </c>
      <c r="E18" s="68">
        <v>47314</v>
      </c>
      <c r="F18" s="68">
        <v>48490</v>
      </c>
      <c r="G18" s="68">
        <v>49743</v>
      </c>
      <c r="H18" s="68">
        <v>50978</v>
      </c>
      <c r="I18" s="69">
        <v>52031</v>
      </c>
      <c r="J18" s="70">
        <v>0.15028681497788032</v>
      </c>
      <c r="K18" s="70">
        <v>2.485522255569176</v>
      </c>
      <c r="L18" s="70">
        <v>2.584037945968241</v>
      </c>
      <c r="M18" s="70">
        <v>2.4827613935629134</v>
      </c>
      <c r="N18" s="70">
        <f t="shared" si="0"/>
        <v>2.0655969241633647</v>
      </c>
      <c r="O18" s="47">
        <v>236.93</v>
      </c>
      <c r="P18" s="47">
        <v>230.26</v>
      </c>
      <c r="Q18" s="47">
        <v>249.09</v>
      </c>
      <c r="R18" s="47">
        <v>255.28</v>
      </c>
      <c r="S18" s="47">
        <f>SUM(I18/199.693)</f>
        <v>260.5549518510914</v>
      </c>
      <c r="U18" s="13" t="s">
        <v>50</v>
      </c>
    </row>
    <row r="19" spans="2:21" s="4" customFormat="1" ht="21.75" customHeight="1">
      <c r="B19" s="8" t="s">
        <v>10</v>
      </c>
      <c r="E19" s="63">
        <f>E20+E22</f>
        <v>54939</v>
      </c>
      <c r="F19" s="63">
        <f>F20+F22</f>
        <v>55044</v>
      </c>
      <c r="G19" s="63">
        <f>G20+G22</f>
        <v>55289</v>
      </c>
      <c r="H19" s="63">
        <f>H20+H22</f>
        <v>55463</v>
      </c>
      <c r="I19" s="63">
        <f>I20+I21+I22</f>
        <v>55742</v>
      </c>
      <c r="J19" s="65">
        <v>-2.540313281651913</v>
      </c>
      <c r="K19" s="65">
        <v>0.19112106154098182</v>
      </c>
      <c r="L19" s="65">
        <v>0.4450984666812005</v>
      </c>
      <c r="M19" s="65">
        <v>0.3147099784767314</v>
      </c>
      <c r="N19" s="65">
        <f>SUM((I19-H19)/H19)*100</f>
        <v>0.5030380614103096</v>
      </c>
      <c r="O19" s="67">
        <v>72.67</v>
      </c>
      <c r="P19" s="67">
        <v>72.81</v>
      </c>
      <c r="Q19" s="67">
        <v>73.13</v>
      </c>
      <c r="R19" s="67">
        <v>73.36</v>
      </c>
      <c r="S19" s="67">
        <f>SUM(I19/756)</f>
        <v>73.73280423280423</v>
      </c>
      <c r="U19" s="4" t="s">
        <v>19</v>
      </c>
    </row>
    <row r="20" spans="2:21" ht="21.75" customHeight="1">
      <c r="B20" s="20" t="s">
        <v>45</v>
      </c>
      <c r="E20" s="68">
        <v>11365</v>
      </c>
      <c r="F20" s="68">
        <v>11259</v>
      </c>
      <c r="G20" s="68">
        <v>11294</v>
      </c>
      <c r="H20" s="68">
        <v>11413</v>
      </c>
      <c r="I20" s="69">
        <v>11561</v>
      </c>
      <c r="J20" s="70">
        <v>-4.479744494873088</v>
      </c>
      <c r="K20" s="70">
        <v>-0.9326880774307084</v>
      </c>
      <c r="L20" s="70">
        <v>0.3108624211741718</v>
      </c>
      <c r="M20" s="70">
        <v>1.053656808925093</v>
      </c>
      <c r="N20" s="70">
        <f>SUM((I20-H20)/H20)*100</f>
        <v>1.2967668448260754</v>
      </c>
      <c r="O20" s="47">
        <v>3573.9</v>
      </c>
      <c r="P20" s="47">
        <v>3540.57</v>
      </c>
      <c r="Q20" s="47">
        <v>3551.57</v>
      </c>
      <c r="R20" s="47">
        <v>3588.99</v>
      </c>
      <c r="S20" s="47">
        <f>SUM(I20/3.18)</f>
        <v>3635.5345911949685</v>
      </c>
      <c r="U20" s="13" t="s">
        <v>56</v>
      </c>
    </row>
    <row r="21" spans="2:21" ht="21.75" customHeight="1">
      <c r="B21" s="20" t="s">
        <v>74</v>
      </c>
      <c r="E21" s="36" t="s">
        <v>28</v>
      </c>
      <c r="F21" s="36" t="s">
        <v>28</v>
      </c>
      <c r="G21" s="36" t="s">
        <v>28</v>
      </c>
      <c r="H21" s="36" t="s">
        <v>28</v>
      </c>
      <c r="I21" s="37">
        <v>4160</v>
      </c>
      <c r="J21" s="74" t="s">
        <v>28</v>
      </c>
      <c r="K21" s="74" t="s">
        <v>28</v>
      </c>
      <c r="L21" s="74" t="s">
        <v>28</v>
      </c>
      <c r="M21" s="74" t="s">
        <v>28</v>
      </c>
      <c r="N21" s="74" t="s">
        <v>28</v>
      </c>
      <c r="O21" s="74" t="s">
        <v>28</v>
      </c>
      <c r="P21" s="74" t="s">
        <v>28</v>
      </c>
      <c r="Q21" s="74" t="s">
        <v>28</v>
      </c>
      <c r="R21" s="74" t="s">
        <v>28</v>
      </c>
      <c r="S21" s="72">
        <f>SUM(I21/184.25)</f>
        <v>22.578018995929444</v>
      </c>
      <c r="U21" s="13" t="s">
        <v>78</v>
      </c>
    </row>
    <row r="22" spans="2:21" ht="21.75" customHeight="1">
      <c r="B22" s="20" t="s">
        <v>39</v>
      </c>
      <c r="E22" s="68">
        <v>43574</v>
      </c>
      <c r="F22" s="68">
        <v>43785</v>
      </c>
      <c r="G22" s="68">
        <v>43995</v>
      </c>
      <c r="H22" s="68">
        <v>44050</v>
      </c>
      <c r="I22" s="69">
        <v>40021</v>
      </c>
      <c r="J22" s="70">
        <v>-2.0214512175926966</v>
      </c>
      <c r="K22" s="70">
        <v>0.48423371735438564</v>
      </c>
      <c r="L22" s="70">
        <v>0.47961630695443647</v>
      </c>
      <c r="M22" s="70">
        <v>0.1250142061597909</v>
      </c>
      <c r="N22" s="70">
        <f>SUM((I22-H22)/H22)*100</f>
        <v>-9.146424517593644</v>
      </c>
      <c r="O22" s="47">
        <v>57.88</v>
      </c>
      <c r="P22" s="47">
        <v>64.73</v>
      </c>
      <c r="Q22" s="47">
        <v>58.44</v>
      </c>
      <c r="R22" s="47">
        <v>58.51</v>
      </c>
      <c r="S22" s="47">
        <f>SUM(I22/756.038)</f>
        <v>52.93516992532121</v>
      </c>
      <c r="U22" s="13" t="s">
        <v>50</v>
      </c>
    </row>
    <row r="23" spans="2:21" ht="12.75" customHeight="1">
      <c r="B23" s="20"/>
      <c r="E23" s="76"/>
      <c r="F23" s="76"/>
      <c r="G23" s="76"/>
      <c r="H23" s="76"/>
      <c r="I23" s="77"/>
      <c r="J23" s="78"/>
      <c r="K23" s="78"/>
      <c r="L23" s="78"/>
      <c r="M23" s="78"/>
      <c r="N23" s="78"/>
      <c r="O23" s="75"/>
      <c r="P23" s="75"/>
      <c r="Q23" s="75"/>
      <c r="R23" s="75"/>
      <c r="S23" s="75"/>
      <c r="U23" s="13"/>
    </row>
    <row r="24" spans="1:21" ht="21.75" customHeight="1">
      <c r="A24" s="10"/>
      <c r="B24" s="52"/>
      <c r="C24" s="10"/>
      <c r="D24" s="10"/>
      <c r="E24" s="57"/>
      <c r="F24" s="57"/>
      <c r="G24" s="57"/>
      <c r="H24" s="57"/>
      <c r="I24" s="55"/>
      <c r="J24" s="58"/>
      <c r="K24" s="58"/>
      <c r="L24" s="58"/>
      <c r="M24" s="58"/>
      <c r="N24" s="59"/>
      <c r="O24" s="56"/>
      <c r="P24" s="56"/>
      <c r="Q24" s="56"/>
      <c r="R24" s="56"/>
      <c r="S24" s="10"/>
      <c r="T24" s="10"/>
      <c r="U24" s="52"/>
    </row>
    <row r="25" spans="1:21" ht="21.75" customHeight="1">
      <c r="A25" s="9"/>
      <c r="B25" s="20"/>
      <c r="C25" s="9"/>
      <c r="D25" s="9"/>
      <c r="E25" s="60"/>
      <c r="F25" s="60"/>
      <c r="G25" s="60"/>
      <c r="H25" s="60"/>
      <c r="I25" s="51"/>
      <c r="J25" s="61"/>
      <c r="K25" s="61"/>
      <c r="L25" s="61"/>
      <c r="M25" s="61"/>
      <c r="N25" s="62"/>
      <c r="O25" s="48"/>
      <c r="P25" s="48"/>
      <c r="Q25" s="48"/>
      <c r="R25" s="48"/>
      <c r="S25" s="9"/>
      <c r="T25" s="9"/>
      <c r="U25" s="20"/>
    </row>
    <row r="26" spans="1:21" ht="21.75" customHeight="1">
      <c r="A26" s="9"/>
      <c r="B26" s="20"/>
      <c r="C26" s="9"/>
      <c r="D26" s="9"/>
      <c r="E26" s="60"/>
      <c r="F26" s="60"/>
      <c r="G26" s="60"/>
      <c r="H26" s="60"/>
      <c r="I26" s="51"/>
      <c r="J26" s="61"/>
      <c r="K26" s="61"/>
      <c r="L26" s="61"/>
      <c r="M26" s="61"/>
      <c r="N26" s="62"/>
      <c r="O26" s="48"/>
      <c r="P26" s="48"/>
      <c r="Q26" s="48"/>
      <c r="R26" s="48"/>
      <c r="S26" s="9"/>
      <c r="T26" s="9"/>
      <c r="U26" s="20"/>
    </row>
    <row r="27" spans="2:19" s="1" customFormat="1" ht="21.75" customHeight="1">
      <c r="B27" s="1" t="s">
        <v>0</v>
      </c>
      <c r="C27" s="2">
        <v>1.2</v>
      </c>
      <c r="D27" s="23" t="s">
        <v>85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s="1" customFormat="1" ht="21.75" customHeight="1">
      <c r="B28" s="1" t="s">
        <v>1</v>
      </c>
      <c r="C28" s="2">
        <v>1.2</v>
      </c>
      <c r="D28" s="23" t="s">
        <v>86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3:19" s="1" customFormat="1" ht="13.5" customHeight="1">
      <c r="C29" s="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21" ht="21.75" customHeight="1">
      <c r="A30" s="85" t="s">
        <v>36</v>
      </c>
      <c r="B30" s="85"/>
      <c r="C30" s="85"/>
      <c r="D30" s="90"/>
      <c r="E30" s="83" t="s">
        <v>2</v>
      </c>
      <c r="F30" s="93"/>
      <c r="G30" s="93"/>
      <c r="H30" s="93"/>
      <c r="I30" s="94"/>
      <c r="J30" s="83" t="s">
        <v>7</v>
      </c>
      <c r="K30" s="93"/>
      <c r="L30" s="93"/>
      <c r="M30" s="93"/>
      <c r="N30" s="94"/>
      <c r="O30" s="83" t="s">
        <v>29</v>
      </c>
      <c r="P30" s="93"/>
      <c r="Q30" s="93"/>
      <c r="R30" s="93"/>
      <c r="S30" s="94"/>
      <c r="T30" s="84" t="s">
        <v>37</v>
      </c>
      <c r="U30" s="85"/>
    </row>
    <row r="31" spans="1:21" ht="21.75" customHeight="1">
      <c r="A31" s="87"/>
      <c r="B31" s="87"/>
      <c r="C31" s="87"/>
      <c r="D31" s="91"/>
      <c r="E31" s="95" t="s">
        <v>4</v>
      </c>
      <c r="F31" s="96"/>
      <c r="G31" s="96"/>
      <c r="H31" s="96"/>
      <c r="I31" s="97"/>
      <c r="J31" s="95" t="s">
        <v>8</v>
      </c>
      <c r="K31" s="96"/>
      <c r="L31" s="96"/>
      <c r="M31" s="96"/>
      <c r="N31" s="97"/>
      <c r="O31" s="95" t="s">
        <v>30</v>
      </c>
      <c r="P31" s="96"/>
      <c r="Q31" s="96"/>
      <c r="R31" s="96"/>
      <c r="S31" s="97"/>
      <c r="T31" s="86"/>
      <c r="U31" s="87"/>
    </row>
    <row r="32" spans="1:21" ht="21.75" customHeight="1">
      <c r="A32" s="87"/>
      <c r="B32" s="87"/>
      <c r="C32" s="87"/>
      <c r="D32" s="91"/>
      <c r="E32" s="24">
        <v>2547</v>
      </c>
      <c r="F32" s="24">
        <v>2548</v>
      </c>
      <c r="G32" s="24">
        <v>2549</v>
      </c>
      <c r="H32" s="24">
        <v>2550</v>
      </c>
      <c r="I32" s="24">
        <v>2551</v>
      </c>
      <c r="J32" s="24">
        <v>2547</v>
      </c>
      <c r="K32" s="24">
        <v>2548</v>
      </c>
      <c r="L32" s="24">
        <v>2549</v>
      </c>
      <c r="M32" s="28">
        <v>2550</v>
      </c>
      <c r="N32" s="28">
        <v>2551</v>
      </c>
      <c r="O32" s="24">
        <v>2547</v>
      </c>
      <c r="P32" s="24">
        <v>2548</v>
      </c>
      <c r="Q32" s="24">
        <v>2549</v>
      </c>
      <c r="R32" s="28">
        <v>2550</v>
      </c>
      <c r="S32" s="28">
        <v>2551</v>
      </c>
      <c r="T32" s="86"/>
      <c r="U32" s="87"/>
    </row>
    <row r="33" spans="1:21" ht="21.75" customHeight="1">
      <c r="A33" s="89"/>
      <c r="B33" s="89"/>
      <c r="C33" s="89"/>
      <c r="D33" s="92"/>
      <c r="E33" s="27" t="s">
        <v>27</v>
      </c>
      <c r="F33" s="27" t="s">
        <v>31</v>
      </c>
      <c r="G33" s="27" t="s">
        <v>32</v>
      </c>
      <c r="H33" s="27" t="s">
        <v>34</v>
      </c>
      <c r="I33" s="27" t="s">
        <v>77</v>
      </c>
      <c r="J33" s="27" t="s">
        <v>27</v>
      </c>
      <c r="K33" s="27" t="s">
        <v>31</v>
      </c>
      <c r="L33" s="27" t="s">
        <v>32</v>
      </c>
      <c r="M33" s="27" t="s">
        <v>34</v>
      </c>
      <c r="N33" s="27" t="s">
        <v>77</v>
      </c>
      <c r="O33" s="27" t="s">
        <v>27</v>
      </c>
      <c r="P33" s="27" t="s">
        <v>31</v>
      </c>
      <c r="Q33" s="27" t="s">
        <v>32</v>
      </c>
      <c r="R33" s="27" t="s">
        <v>34</v>
      </c>
      <c r="S33" s="27" t="s">
        <v>77</v>
      </c>
      <c r="T33" s="88"/>
      <c r="U33" s="89"/>
    </row>
    <row r="34" spans="2:21" s="4" customFormat="1" ht="21.75" customHeight="1">
      <c r="B34" s="8" t="s">
        <v>11</v>
      </c>
      <c r="E34" s="35">
        <f>E35+E36+E37+E38</f>
        <v>68518</v>
      </c>
      <c r="F34" s="35">
        <f>F35+F36+F37+F38</f>
        <v>68687</v>
      </c>
      <c r="G34" s="35">
        <f>G35+G36+G37+G38</f>
        <v>68980</v>
      </c>
      <c r="H34" s="35">
        <f>H35+H36+H37+H38</f>
        <v>68692</v>
      </c>
      <c r="I34" s="35">
        <f>I35+I36+I37+I38</f>
        <v>69403</v>
      </c>
      <c r="J34" s="65">
        <v>-2.0261671552155573</v>
      </c>
      <c r="K34" s="65">
        <v>0.24665051519308795</v>
      </c>
      <c r="L34" s="65">
        <v>0.42657271390510576</v>
      </c>
      <c r="M34" s="65">
        <v>-0.4175123224122934</v>
      </c>
      <c r="N34" s="65">
        <f aca="true" t="shared" si="1" ref="N34:N48">SUM((I34-H34)/H34)*100</f>
        <v>1.035055028242008</v>
      </c>
      <c r="O34" s="67">
        <v>111.81</v>
      </c>
      <c r="P34" s="67">
        <v>112.09</v>
      </c>
      <c r="Q34" s="67">
        <v>112.57</v>
      </c>
      <c r="R34" s="67">
        <v>112.1</v>
      </c>
      <c r="S34" s="67">
        <f>SUM(I34/612.8)</f>
        <v>113.25554830287207</v>
      </c>
      <c r="U34" s="4" t="s">
        <v>20</v>
      </c>
    </row>
    <row r="35" spans="2:21" ht="21.75" customHeight="1">
      <c r="B35" s="20" t="s">
        <v>46</v>
      </c>
      <c r="E35" s="36">
        <v>9049</v>
      </c>
      <c r="F35" s="36">
        <v>9068</v>
      </c>
      <c r="G35" s="36">
        <v>9148</v>
      </c>
      <c r="H35" s="36">
        <v>9184</v>
      </c>
      <c r="I35" s="37">
        <v>9197</v>
      </c>
      <c r="J35" s="70">
        <v>-11.362523263786855</v>
      </c>
      <c r="K35" s="70">
        <v>0.2099679522599182</v>
      </c>
      <c r="L35" s="70">
        <v>0.882223202470225</v>
      </c>
      <c r="M35" s="70">
        <v>0.3935286401399213</v>
      </c>
      <c r="N35" s="70">
        <f t="shared" si="1"/>
        <v>0.14155052264808363</v>
      </c>
      <c r="O35" s="47">
        <v>297.66</v>
      </c>
      <c r="P35" s="47">
        <v>298.29</v>
      </c>
      <c r="Q35" s="47">
        <v>300.92</v>
      </c>
      <c r="R35" s="47">
        <v>302.11</v>
      </c>
      <c r="S35" s="47">
        <f>SUM(I35/30.4)</f>
        <v>302.53289473684214</v>
      </c>
      <c r="U35" s="13" t="s">
        <v>57</v>
      </c>
    </row>
    <row r="36" spans="2:21" ht="21.75" customHeight="1">
      <c r="B36" s="20" t="s">
        <v>47</v>
      </c>
      <c r="E36" s="36">
        <v>2674</v>
      </c>
      <c r="F36" s="36">
        <v>2817</v>
      </c>
      <c r="G36" s="36">
        <v>2823</v>
      </c>
      <c r="H36" s="36">
        <v>2866</v>
      </c>
      <c r="I36" s="37">
        <v>2927</v>
      </c>
      <c r="J36" s="70">
        <v>2.1000381825124093</v>
      </c>
      <c r="K36" s="70">
        <v>5.347793567688855</v>
      </c>
      <c r="L36" s="70">
        <v>0.21299254526091588</v>
      </c>
      <c r="M36" s="70">
        <v>1.5232022670917464</v>
      </c>
      <c r="N36" s="70">
        <f t="shared" si="1"/>
        <v>2.1284019539427774</v>
      </c>
      <c r="O36" s="47">
        <v>298.78</v>
      </c>
      <c r="P36" s="47">
        <v>314.75</v>
      </c>
      <c r="Q36" s="47">
        <v>315.42</v>
      </c>
      <c r="R36" s="47">
        <v>320.22</v>
      </c>
      <c r="S36" s="47">
        <f>SUM(I36/8.9)</f>
        <v>328.87640449438203</v>
      </c>
      <c r="U36" s="13" t="s">
        <v>58</v>
      </c>
    </row>
    <row r="37" spans="2:21" ht="21.75" customHeight="1">
      <c r="B37" s="20" t="s">
        <v>48</v>
      </c>
      <c r="E37" s="36">
        <v>3831</v>
      </c>
      <c r="F37" s="36">
        <v>3854</v>
      </c>
      <c r="G37" s="36">
        <v>4013</v>
      </c>
      <c r="H37" s="36">
        <v>3948</v>
      </c>
      <c r="I37" s="37">
        <v>3917</v>
      </c>
      <c r="J37" s="70">
        <v>2.269087026161239</v>
      </c>
      <c r="K37" s="70">
        <v>0.6003654398329418</v>
      </c>
      <c r="L37" s="70">
        <v>4.12558380902958</v>
      </c>
      <c r="M37" s="70">
        <v>-1.619735858460005</v>
      </c>
      <c r="N37" s="70">
        <f t="shared" si="1"/>
        <v>-0.7852077001013171</v>
      </c>
      <c r="O37" s="47">
        <v>222.09</v>
      </c>
      <c r="P37" s="47">
        <v>223.42</v>
      </c>
      <c r="Q37" s="47">
        <v>232.64</v>
      </c>
      <c r="R37" s="47">
        <v>228.87</v>
      </c>
      <c r="S37" s="47">
        <f>SUM(I37/17.25)</f>
        <v>227.07246376811594</v>
      </c>
      <c r="U37" s="13" t="s">
        <v>59</v>
      </c>
    </row>
    <row r="38" spans="1:21" ht="21.75" customHeight="1">
      <c r="A38" s="9"/>
      <c r="B38" s="20" t="s">
        <v>39</v>
      </c>
      <c r="C38" s="9"/>
      <c r="D38" s="9"/>
      <c r="E38" s="38">
        <v>52964</v>
      </c>
      <c r="F38" s="38">
        <v>52948</v>
      </c>
      <c r="G38" s="38">
        <v>52996</v>
      </c>
      <c r="H38" s="41">
        <v>52694</v>
      </c>
      <c r="I38" s="37">
        <v>53362</v>
      </c>
      <c r="J38" s="70">
        <v>-0.7439890556773674</v>
      </c>
      <c r="K38" s="70">
        <v>-0.030209198701004455</v>
      </c>
      <c r="L38" s="70">
        <v>0.09065498224673264</v>
      </c>
      <c r="M38" s="70">
        <v>-0.5698543286285758</v>
      </c>
      <c r="N38" s="70">
        <f t="shared" si="1"/>
        <v>1.2676965119368429</v>
      </c>
      <c r="O38" s="47">
        <v>95.22</v>
      </c>
      <c r="P38" s="47">
        <v>130.61</v>
      </c>
      <c r="Q38" s="47">
        <v>95.28</v>
      </c>
      <c r="R38" s="47">
        <v>94.74</v>
      </c>
      <c r="S38" s="47">
        <f>SUM(I38)/556.25</f>
        <v>95.93168539325843</v>
      </c>
      <c r="T38" s="9"/>
      <c r="U38" s="20" t="s">
        <v>50</v>
      </c>
    </row>
    <row r="39" spans="2:21" s="4" customFormat="1" ht="21.75" customHeight="1">
      <c r="B39" s="8" t="s">
        <v>12</v>
      </c>
      <c r="E39" s="35">
        <f>E40+E41</f>
        <v>37612</v>
      </c>
      <c r="F39" s="35">
        <f>F40+F41</f>
        <v>38115</v>
      </c>
      <c r="G39" s="35">
        <f>G40+G41</f>
        <v>38473</v>
      </c>
      <c r="H39" s="35">
        <f>H40+H41</f>
        <v>38632</v>
      </c>
      <c r="I39" s="35">
        <f>I40+I41</f>
        <v>39127</v>
      </c>
      <c r="J39" s="67">
        <v>1.648559537322307</v>
      </c>
      <c r="K39" s="67">
        <v>1.337339147080719</v>
      </c>
      <c r="L39" s="67">
        <v>0.9392627574445757</v>
      </c>
      <c r="M39" s="67">
        <v>0.4132768435006368</v>
      </c>
      <c r="N39" s="67">
        <f t="shared" si="1"/>
        <v>1.2813211845102506</v>
      </c>
      <c r="O39" s="67">
        <v>40.58</v>
      </c>
      <c r="P39" s="67">
        <v>41.12</v>
      </c>
      <c r="Q39" s="67">
        <v>41.5</v>
      </c>
      <c r="R39" s="67">
        <v>41.68</v>
      </c>
      <c r="S39" s="67">
        <f>SUM(I39/927)</f>
        <v>42.20819848975189</v>
      </c>
      <c r="U39" s="4" t="s">
        <v>21</v>
      </c>
    </row>
    <row r="40" spans="2:21" ht="21.75" customHeight="1">
      <c r="B40" s="20" t="s">
        <v>60</v>
      </c>
      <c r="E40" s="30">
        <v>7995</v>
      </c>
      <c r="F40" s="30">
        <v>7902</v>
      </c>
      <c r="G40" s="30">
        <v>7910</v>
      </c>
      <c r="H40" s="39">
        <v>7920</v>
      </c>
      <c r="I40" s="37">
        <v>7904</v>
      </c>
      <c r="J40" s="47">
        <v>2.869274318064848</v>
      </c>
      <c r="K40" s="47">
        <v>-1.1632270168855534</v>
      </c>
      <c r="L40" s="47">
        <v>0.10124019235636547</v>
      </c>
      <c r="M40" s="47">
        <v>0.1264222503160556</v>
      </c>
      <c r="N40" s="47">
        <f t="shared" si="1"/>
        <v>-0.20202020202020202</v>
      </c>
      <c r="O40" s="47">
        <v>188.12</v>
      </c>
      <c r="P40" s="47">
        <v>185.93</v>
      </c>
      <c r="Q40" s="47">
        <v>186.12</v>
      </c>
      <c r="R40" s="47">
        <v>186.35</v>
      </c>
      <c r="S40" s="47">
        <f>SUM(I40/69)</f>
        <v>114.55072463768116</v>
      </c>
      <c r="U40" s="13" t="s">
        <v>68</v>
      </c>
    </row>
    <row r="41" spans="1:21" ht="21.75" customHeight="1">
      <c r="A41" s="9"/>
      <c r="B41" s="14" t="s">
        <v>39</v>
      </c>
      <c r="C41" s="9"/>
      <c r="D41" s="9"/>
      <c r="E41" s="30">
        <v>29617</v>
      </c>
      <c r="F41" s="30">
        <v>30213</v>
      </c>
      <c r="G41" s="30">
        <v>30563</v>
      </c>
      <c r="H41" s="39">
        <v>30712</v>
      </c>
      <c r="I41" s="37">
        <v>31223</v>
      </c>
      <c r="J41" s="47">
        <v>1.3239822100581595</v>
      </c>
      <c r="K41" s="47">
        <v>2.012357767498396</v>
      </c>
      <c r="L41" s="47">
        <v>1.1584417303809618</v>
      </c>
      <c r="M41" s="47">
        <v>0.4875175866243497</v>
      </c>
      <c r="N41" s="47">
        <f t="shared" si="1"/>
        <v>1.6638447512373014</v>
      </c>
      <c r="O41" s="47">
        <v>33.49</v>
      </c>
      <c r="P41" s="47">
        <v>34.14</v>
      </c>
      <c r="Q41" s="47">
        <v>34.56</v>
      </c>
      <c r="R41" s="47">
        <v>34.72</v>
      </c>
      <c r="S41" s="47">
        <f>SUM(I41/926.97)</f>
        <v>33.68285920795711</v>
      </c>
      <c r="T41" s="9"/>
      <c r="U41" s="20" t="s">
        <v>50</v>
      </c>
    </row>
    <row r="42" spans="2:21" s="4" customFormat="1" ht="21.75" customHeight="1">
      <c r="B42" s="12" t="s">
        <v>13</v>
      </c>
      <c r="E42" s="35">
        <f>E43+E44</f>
        <v>29236</v>
      </c>
      <c r="F42" s="35">
        <f>F43+F44</f>
        <v>29479</v>
      </c>
      <c r="G42" s="35">
        <f>G43+G44</f>
        <v>29650</v>
      </c>
      <c r="H42" s="35">
        <f>H43+H44</f>
        <v>29845</v>
      </c>
      <c r="I42" s="35">
        <f>I43+I44</f>
        <v>30046</v>
      </c>
      <c r="J42" s="67">
        <v>-1.0391632535626036</v>
      </c>
      <c r="K42" s="67">
        <v>0.831167054316596</v>
      </c>
      <c r="L42" s="67">
        <v>0.5800739509481325</v>
      </c>
      <c r="M42" s="67">
        <v>0.657672849915683</v>
      </c>
      <c r="N42" s="67">
        <f t="shared" si="1"/>
        <v>0.6734796448316301</v>
      </c>
      <c r="O42" s="67">
        <v>60.9</v>
      </c>
      <c r="P42" s="67">
        <v>61.4</v>
      </c>
      <c r="Q42" s="67">
        <v>61.76</v>
      </c>
      <c r="R42" s="67">
        <v>62.16</v>
      </c>
      <c r="S42" s="67">
        <f>SUM(I42/480.1)</f>
        <v>62.58279525098938</v>
      </c>
      <c r="U42" s="8" t="s">
        <v>22</v>
      </c>
    </row>
    <row r="43" spans="2:21" ht="21.75" customHeight="1">
      <c r="B43" s="14" t="s">
        <v>61</v>
      </c>
      <c r="C43" s="13"/>
      <c r="E43" s="30">
        <v>1883</v>
      </c>
      <c r="F43" s="30">
        <v>1915</v>
      </c>
      <c r="G43" s="30">
        <v>1971</v>
      </c>
      <c r="H43" s="39">
        <v>2003</v>
      </c>
      <c r="I43" s="37">
        <v>2005</v>
      </c>
      <c r="J43" s="47">
        <v>-0.6856540084388185</v>
      </c>
      <c r="K43" s="47">
        <v>1.699415825809878</v>
      </c>
      <c r="L43" s="47">
        <v>2.9242819843342036</v>
      </c>
      <c r="M43" s="47">
        <v>1.6235413495687467</v>
      </c>
      <c r="N43" s="47">
        <f t="shared" si="1"/>
        <v>0.0998502246630055</v>
      </c>
      <c r="O43" s="47">
        <v>2493.05</v>
      </c>
      <c r="P43" s="47">
        <v>2553.33</v>
      </c>
      <c r="Q43" s="47">
        <v>2628</v>
      </c>
      <c r="R43" s="47">
        <v>2670.67</v>
      </c>
      <c r="S43" s="47">
        <f>SUM(I43/0.7553)</f>
        <v>2654.5743413213295</v>
      </c>
      <c r="U43" s="20" t="s">
        <v>69</v>
      </c>
    </row>
    <row r="44" spans="2:21" ht="21.75" customHeight="1">
      <c r="B44" s="14" t="s">
        <v>39</v>
      </c>
      <c r="C44" s="9"/>
      <c r="E44" s="30">
        <v>27353</v>
      </c>
      <c r="F44" s="30">
        <v>27564</v>
      </c>
      <c r="G44" s="30">
        <v>27679</v>
      </c>
      <c r="H44" s="39">
        <v>27842</v>
      </c>
      <c r="I44" s="37">
        <v>28041</v>
      </c>
      <c r="J44" s="47">
        <v>-1.0634065178862082</v>
      </c>
      <c r="K44" s="47">
        <v>0.7713961905458268</v>
      </c>
      <c r="L44" s="47">
        <v>0.41721085473806413</v>
      </c>
      <c r="M44" s="47">
        <v>0.5888941074460783</v>
      </c>
      <c r="N44" s="47">
        <f t="shared" si="1"/>
        <v>0.7147475037712808</v>
      </c>
      <c r="O44" s="47">
        <v>57.63</v>
      </c>
      <c r="P44" s="47">
        <v>58.07</v>
      </c>
      <c r="Q44" s="47">
        <v>57.75</v>
      </c>
      <c r="R44" s="47">
        <v>58.08</v>
      </c>
      <c r="S44" s="47">
        <f>SUM(I44/479.3467)</f>
        <v>58.49836871725621</v>
      </c>
      <c r="U44" s="13" t="s">
        <v>50</v>
      </c>
    </row>
    <row r="45" spans="2:21" s="4" customFormat="1" ht="21.75" customHeight="1">
      <c r="B45" s="12" t="s">
        <v>14</v>
      </c>
      <c r="E45" s="35">
        <f>E46+E47+E48</f>
        <v>30896</v>
      </c>
      <c r="F45" s="35">
        <f>F46+F47+F48</f>
        <v>30790</v>
      </c>
      <c r="G45" s="35">
        <f>G46+G47+G48</f>
        <v>30780</v>
      </c>
      <c r="H45" s="35">
        <f>H46+H47+H48</f>
        <v>30669</v>
      </c>
      <c r="I45" s="35">
        <f>I46+I47+I48</f>
        <v>30874</v>
      </c>
      <c r="J45" s="67">
        <v>-0.34191342494032645</v>
      </c>
      <c r="K45" s="67">
        <v>-0.3430864836872087</v>
      </c>
      <c r="L45" s="67">
        <v>-0.03247807729782397</v>
      </c>
      <c r="M45" s="67">
        <v>-0.36062378167641324</v>
      </c>
      <c r="N45" s="67">
        <f t="shared" si="1"/>
        <v>0.6684274022628712</v>
      </c>
      <c r="O45" s="67">
        <v>161.92</v>
      </c>
      <c r="P45" s="67">
        <v>161.36</v>
      </c>
      <c r="Q45" s="67">
        <v>161.31</v>
      </c>
      <c r="R45" s="67">
        <v>160.73</v>
      </c>
      <c r="S45" s="67">
        <f>SUM(I45/190.8)</f>
        <v>161.81341719077568</v>
      </c>
      <c r="U45" s="4" t="s">
        <v>23</v>
      </c>
    </row>
    <row r="46" spans="2:21" ht="21.75" customHeight="1">
      <c r="B46" s="14" t="s">
        <v>62</v>
      </c>
      <c r="E46" s="31">
        <v>9290</v>
      </c>
      <c r="F46" s="31">
        <v>9220</v>
      </c>
      <c r="G46" s="31">
        <v>9203</v>
      </c>
      <c r="H46" s="39">
        <v>9101</v>
      </c>
      <c r="I46" s="37">
        <v>9124</v>
      </c>
      <c r="J46" s="47">
        <v>0.4541522491349481</v>
      </c>
      <c r="K46" s="47">
        <v>-0.7534983853606028</v>
      </c>
      <c r="L46" s="47">
        <v>-0.1843817787418655</v>
      </c>
      <c r="M46" s="47">
        <v>-1.1083342388351625</v>
      </c>
      <c r="N46" s="47">
        <f t="shared" si="1"/>
        <v>0.252719481375673</v>
      </c>
      <c r="O46" s="47">
        <v>244.92</v>
      </c>
      <c r="P46" s="47">
        <v>243.08</v>
      </c>
      <c r="Q46" s="47">
        <v>242.63</v>
      </c>
      <c r="R46" s="47">
        <v>239.94</v>
      </c>
      <c r="S46" s="47">
        <f>SUM(I46/37.93)</f>
        <v>240.54837859214342</v>
      </c>
      <c r="U46" s="13" t="s">
        <v>70</v>
      </c>
    </row>
    <row r="47" spans="2:21" ht="21.75" customHeight="1">
      <c r="B47" s="14" t="s">
        <v>63</v>
      </c>
      <c r="E47" s="31">
        <v>6726</v>
      </c>
      <c r="F47" s="31">
        <v>6781</v>
      </c>
      <c r="G47" s="31">
        <v>6807</v>
      </c>
      <c r="H47" s="39">
        <v>6902</v>
      </c>
      <c r="I47" s="37">
        <v>6960</v>
      </c>
      <c r="J47" s="47">
        <v>40.56426332288401</v>
      </c>
      <c r="K47" s="47">
        <v>0.8177222717811478</v>
      </c>
      <c r="L47" s="47">
        <v>0.38342427370594306</v>
      </c>
      <c r="M47" s="47">
        <v>1.3956221536653446</v>
      </c>
      <c r="N47" s="47">
        <f t="shared" si="1"/>
        <v>0.8403361344537815</v>
      </c>
      <c r="O47" s="47">
        <v>254.29</v>
      </c>
      <c r="P47" s="47">
        <v>256.37</v>
      </c>
      <c r="Q47" s="47">
        <v>257.35</v>
      </c>
      <c r="R47" s="47">
        <v>260.95</v>
      </c>
      <c r="S47" s="47">
        <f>SUM(I47/26.45)</f>
        <v>263.13799621928166</v>
      </c>
      <c r="U47" s="13" t="s">
        <v>71</v>
      </c>
    </row>
    <row r="48" spans="2:21" ht="21.75" customHeight="1">
      <c r="B48" s="14" t="s">
        <v>39</v>
      </c>
      <c r="E48" s="31">
        <v>14880</v>
      </c>
      <c r="F48" s="31">
        <v>14789</v>
      </c>
      <c r="G48" s="31">
        <v>14770</v>
      </c>
      <c r="H48" s="39">
        <v>14666</v>
      </c>
      <c r="I48" s="37">
        <v>14790</v>
      </c>
      <c r="J48" s="47">
        <v>-12.310684188814898</v>
      </c>
      <c r="K48" s="47">
        <v>-0.6115591397849462</v>
      </c>
      <c r="L48" s="47">
        <v>-0.12847386571100142</v>
      </c>
      <c r="M48" s="47">
        <v>-0.7041299932295193</v>
      </c>
      <c r="N48" s="47">
        <f t="shared" si="1"/>
        <v>0.8454929769534979</v>
      </c>
      <c r="O48" s="47">
        <v>117.69</v>
      </c>
      <c r="P48" s="47">
        <v>116.97</v>
      </c>
      <c r="Q48" s="47">
        <v>116.82</v>
      </c>
      <c r="R48" s="47">
        <v>116</v>
      </c>
      <c r="S48" s="47">
        <f>SUM(I48/126.434)</f>
        <v>116.97802806207191</v>
      </c>
      <c r="U48" s="13" t="s">
        <v>50</v>
      </c>
    </row>
    <row r="49" spans="2:21" ht="12.75" customHeight="1">
      <c r="B49" s="20"/>
      <c r="E49" s="33"/>
      <c r="F49" s="33"/>
      <c r="G49" s="33"/>
      <c r="H49" s="40"/>
      <c r="I49" s="45"/>
      <c r="J49" s="75"/>
      <c r="K49" s="75"/>
      <c r="L49" s="75"/>
      <c r="M49" s="75"/>
      <c r="N49" s="75"/>
      <c r="O49" s="75"/>
      <c r="P49" s="75"/>
      <c r="Q49" s="75"/>
      <c r="R49" s="75"/>
      <c r="S49" s="75"/>
      <c r="U49" s="13"/>
    </row>
    <row r="50" spans="1:21" ht="21.75" customHeight="1">
      <c r="A50" s="10"/>
      <c r="B50" s="52"/>
      <c r="C50" s="10"/>
      <c r="D50" s="10"/>
      <c r="E50" s="53"/>
      <c r="F50" s="53"/>
      <c r="G50" s="53"/>
      <c r="H50" s="54"/>
      <c r="I50" s="55"/>
      <c r="J50" s="56"/>
      <c r="K50" s="56"/>
      <c r="L50" s="56"/>
      <c r="M50" s="56"/>
      <c r="N50" s="56"/>
      <c r="O50" s="56"/>
      <c r="P50" s="56"/>
      <c r="Q50" s="56"/>
      <c r="R50" s="56"/>
      <c r="S50" s="10"/>
      <c r="T50" s="10"/>
      <c r="U50" s="52"/>
    </row>
    <row r="51" spans="1:21" ht="21.75" customHeight="1">
      <c r="A51" s="9"/>
      <c r="B51" s="20"/>
      <c r="C51" s="9"/>
      <c r="D51" s="9"/>
      <c r="E51" s="49"/>
      <c r="F51" s="49"/>
      <c r="G51" s="49"/>
      <c r="H51" s="50"/>
      <c r="I51" s="51"/>
      <c r="J51" s="48"/>
      <c r="K51" s="48"/>
      <c r="L51" s="48"/>
      <c r="M51" s="48"/>
      <c r="N51" s="48"/>
      <c r="O51" s="48"/>
      <c r="P51" s="48"/>
      <c r="Q51" s="48"/>
      <c r="R51" s="48"/>
      <c r="S51" s="9"/>
      <c r="T51" s="9"/>
      <c r="U51" s="20"/>
    </row>
    <row r="52" spans="1:21" ht="21.75" customHeight="1">
      <c r="A52" s="9"/>
      <c r="B52" s="20"/>
      <c r="C52" s="9"/>
      <c r="D52" s="9"/>
      <c r="E52" s="49"/>
      <c r="F52" s="49"/>
      <c r="G52" s="49"/>
      <c r="H52" s="50"/>
      <c r="I52" s="51"/>
      <c r="J52" s="48"/>
      <c r="K52" s="48"/>
      <c r="L52" s="48"/>
      <c r="M52" s="48"/>
      <c r="N52" s="48"/>
      <c r="O52" s="48"/>
      <c r="P52" s="48"/>
      <c r="Q52" s="48"/>
      <c r="R52" s="48"/>
      <c r="S52" s="9"/>
      <c r="T52" s="9"/>
      <c r="U52" s="20"/>
    </row>
    <row r="53" spans="2:19" s="1" customFormat="1" ht="21.75" customHeight="1">
      <c r="B53" s="1" t="s">
        <v>0</v>
      </c>
      <c r="C53" s="2">
        <v>1.2</v>
      </c>
      <c r="D53" s="23" t="s">
        <v>85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s="1" customFormat="1" ht="21.75" customHeight="1">
      <c r="B54" s="1" t="s">
        <v>1</v>
      </c>
      <c r="C54" s="2">
        <v>1.2</v>
      </c>
      <c r="D54" s="23" t="s">
        <v>86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3:19" s="1" customFormat="1" ht="13.5" customHeight="1">
      <c r="C55" s="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21" ht="21.75" customHeight="1">
      <c r="A56" s="85" t="s">
        <v>36</v>
      </c>
      <c r="B56" s="85"/>
      <c r="C56" s="85"/>
      <c r="D56" s="90"/>
      <c r="E56" s="83" t="s">
        <v>2</v>
      </c>
      <c r="F56" s="93"/>
      <c r="G56" s="93"/>
      <c r="H56" s="93"/>
      <c r="I56" s="94"/>
      <c r="J56" s="83" t="s">
        <v>7</v>
      </c>
      <c r="K56" s="93"/>
      <c r="L56" s="93"/>
      <c r="M56" s="93"/>
      <c r="N56" s="94"/>
      <c r="O56" s="83" t="s">
        <v>29</v>
      </c>
      <c r="P56" s="93"/>
      <c r="Q56" s="93"/>
      <c r="R56" s="93"/>
      <c r="S56" s="94"/>
      <c r="T56" s="84" t="s">
        <v>37</v>
      </c>
      <c r="U56" s="85"/>
    </row>
    <row r="57" spans="1:21" ht="21.75" customHeight="1">
      <c r="A57" s="87"/>
      <c r="B57" s="87"/>
      <c r="C57" s="87"/>
      <c r="D57" s="91"/>
      <c r="E57" s="95" t="s">
        <v>4</v>
      </c>
      <c r="F57" s="96"/>
      <c r="G57" s="96"/>
      <c r="H57" s="96"/>
      <c r="I57" s="97"/>
      <c r="J57" s="95" t="s">
        <v>8</v>
      </c>
      <c r="K57" s="96"/>
      <c r="L57" s="96"/>
      <c r="M57" s="96"/>
      <c r="N57" s="97"/>
      <c r="O57" s="95" t="s">
        <v>30</v>
      </c>
      <c r="P57" s="96"/>
      <c r="Q57" s="96"/>
      <c r="R57" s="96"/>
      <c r="S57" s="97"/>
      <c r="T57" s="86"/>
      <c r="U57" s="87"/>
    </row>
    <row r="58" spans="1:21" ht="21.75" customHeight="1">
      <c r="A58" s="87"/>
      <c r="B58" s="87"/>
      <c r="C58" s="87"/>
      <c r="D58" s="91"/>
      <c r="E58" s="24">
        <v>2547</v>
      </c>
      <c r="F58" s="24">
        <v>2548</v>
      </c>
      <c r="G58" s="24">
        <v>2549</v>
      </c>
      <c r="H58" s="24">
        <v>2550</v>
      </c>
      <c r="I58" s="24">
        <v>2551</v>
      </c>
      <c r="J58" s="24">
        <v>2547</v>
      </c>
      <c r="K58" s="24">
        <v>2548</v>
      </c>
      <c r="L58" s="24">
        <v>2549</v>
      </c>
      <c r="M58" s="28">
        <v>2550</v>
      </c>
      <c r="N58" s="28">
        <v>2551</v>
      </c>
      <c r="O58" s="24">
        <v>2547</v>
      </c>
      <c r="P58" s="24">
        <v>2548</v>
      </c>
      <c r="Q58" s="24">
        <v>2549</v>
      </c>
      <c r="R58" s="28">
        <v>2550</v>
      </c>
      <c r="S58" s="28">
        <v>2551</v>
      </c>
      <c r="T58" s="86"/>
      <c r="U58" s="87"/>
    </row>
    <row r="59" spans="1:21" ht="21.75" customHeight="1">
      <c r="A59" s="89"/>
      <c r="B59" s="89"/>
      <c r="C59" s="89"/>
      <c r="D59" s="92"/>
      <c r="E59" s="27" t="s">
        <v>27</v>
      </c>
      <c r="F59" s="27" t="s">
        <v>31</v>
      </c>
      <c r="G59" s="27" t="s">
        <v>32</v>
      </c>
      <c r="H59" s="27" t="s">
        <v>34</v>
      </c>
      <c r="I59" s="27" t="s">
        <v>77</v>
      </c>
      <c r="J59" s="27" t="s">
        <v>27</v>
      </c>
      <c r="K59" s="27" t="s">
        <v>31</v>
      </c>
      <c r="L59" s="27" t="s">
        <v>32</v>
      </c>
      <c r="M59" s="27" t="s">
        <v>34</v>
      </c>
      <c r="N59" s="27" t="s">
        <v>77</v>
      </c>
      <c r="O59" s="27" t="s">
        <v>27</v>
      </c>
      <c r="P59" s="27" t="s">
        <v>31</v>
      </c>
      <c r="Q59" s="27" t="s">
        <v>32</v>
      </c>
      <c r="R59" s="27" t="s">
        <v>34</v>
      </c>
      <c r="S59" s="27" t="s">
        <v>77</v>
      </c>
      <c r="T59" s="88"/>
      <c r="U59" s="89"/>
    </row>
    <row r="60" spans="2:21" s="4" customFormat="1" ht="21.75" customHeight="1">
      <c r="B60" s="12" t="s">
        <v>15</v>
      </c>
      <c r="E60" s="35">
        <f>E61+E63</f>
        <v>61665</v>
      </c>
      <c r="F60" s="35">
        <f>F61+F63</f>
        <v>62340</v>
      </c>
      <c r="G60" s="35">
        <f>G61+G63</f>
        <v>62908</v>
      </c>
      <c r="H60" s="35">
        <f>H61+H63</f>
        <v>62680</v>
      </c>
      <c r="I60" s="35">
        <f>I61+I62+I63</f>
        <v>62858</v>
      </c>
      <c r="J60" s="71">
        <v>-0.14412021893318652</v>
      </c>
      <c r="K60" s="71">
        <v>1.0946241790318658</v>
      </c>
      <c r="L60" s="71">
        <v>0.9111324991979467</v>
      </c>
      <c r="M60" s="71">
        <v>-0.36243403064793034</v>
      </c>
      <c r="N60" s="71">
        <f>SUM((I60-H60)/H60)*100</f>
        <v>0.2839821314613912</v>
      </c>
      <c r="O60" s="71">
        <v>84.03</v>
      </c>
      <c r="P60" s="71">
        <v>84.95</v>
      </c>
      <c r="Q60" s="71">
        <v>85.73</v>
      </c>
      <c r="R60" s="71">
        <v>85.42</v>
      </c>
      <c r="S60" s="71">
        <f>SUM(I60/733.8)</f>
        <v>85.66094303624966</v>
      </c>
      <c r="U60" s="4" t="s">
        <v>24</v>
      </c>
    </row>
    <row r="61" spans="2:21" ht="21.75" customHeight="1">
      <c r="B61" s="13" t="s">
        <v>64</v>
      </c>
      <c r="E61" s="31">
        <v>11188</v>
      </c>
      <c r="F61" s="31">
        <v>11280</v>
      </c>
      <c r="G61" s="31">
        <v>11300</v>
      </c>
      <c r="H61" s="39">
        <v>11107</v>
      </c>
      <c r="I61" s="37">
        <v>11077</v>
      </c>
      <c r="J61" s="72">
        <v>-0.5334281650071123</v>
      </c>
      <c r="K61" s="72">
        <v>0.8223096174472649</v>
      </c>
      <c r="L61" s="72">
        <v>0.1773049645390071</v>
      </c>
      <c r="M61" s="72">
        <v>-1.7079646017699115</v>
      </c>
      <c r="N61" s="72">
        <f>SUM((I61-H61)/H61)*100</f>
        <v>-0.2700999369766814</v>
      </c>
      <c r="O61" s="72">
        <v>294.42</v>
      </c>
      <c r="P61" s="72">
        <v>296.84</v>
      </c>
      <c r="Q61" s="72">
        <v>297.37</v>
      </c>
      <c r="R61" s="72">
        <v>292.29</v>
      </c>
      <c r="S61" s="72">
        <f>SUM(I61/38)</f>
        <v>291.5</v>
      </c>
      <c r="U61" s="13" t="s">
        <v>72</v>
      </c>
    </row>
    <row r="62" spans="2:21" ht="21.75" customHeight="1">
      <c r="B62" s="13" t="s">
        <v>75</v>
      </c>
      <c r="E62" s="46" t="s">
        <v>28</v>
      </c>
      <c r="F62" s="46" t="s">
        <v>28</v>
      </c>
      <c r="G62" s="46" t="s">
        <v>28</v>
      </c>
      <c r="H62" s="11" t="s">
        <v>28</v>
      </c>
      <c r="I62" s="37">
        <v>15949</v>
      </c>
      <c r="J62" s="73" t="s">
        <v>28</v>
      </c>
      <c r="K62" s="73" t="s">
        <v>28</v>
      </c>
      <c r="L62" s="73" t="s">
        <v>28</v>
      </c>
      <c r="M62" s="72" t="s">
        <v>28</v>
      </c>
      <c r="N62" s="73" t="s">
        <v>28</v>
      </c>
      <c r="O62" s="73" t="s">
        <v>28</v>
      </c>
      <c r="P62" s="73" t="s">
        <v>28</v>
      </c>
      <c r="Q62" s="72" t="s">
        <v>28</v>
      </c>
      <c r="R62" s="73" t="s">
        <v>28</v>
      </c>
      <c r="S62" s="72">
        <f>SUM(I62/222.5)</f>
        <v>71.6808988764045</v>
      </c>
      <c r="U62" s="13" t="s">
        <v>79</v>
      </c>
    </row>
    <row r="63" spans="1:21" ht="21.75" customHeight="1">
      <c r="A63" s="13"/>
      <c r="B63" s="13" t="s">
        <v>39</v>
      </c>
      <c r="D63" s="20"/>
      <c r="E63" s="31">
        <v>50477</v>
      </c>
      <c r="F63" s="31">
        <v>51060</v>
      </c>
      <c r="G63" s="31">
        <v>51608</v>
      </c>
      <c r="H63" s="39">
        <v>51573</v>
      </c>
      <c r="I63" s="37">
        <v>35832</v>
      </c>
      <c r="J63" s="72">
        <v>-0.05741892052429414</v>
      </c>
      <c r="K63" s="72">
        <v>1.154981476712166</v>
      </c>
      <c r="L63" s="72">
        <v>1.073247160203682</v>
      </c>
      <c r="M63" s="72">
        <v>-0.06781894279956596</v>
      </c>
      <c r="N63" s="72">
        <f aca="true" t="shared" si="2" ref="N63:N68">SUM((I63-H63)/H63)*100</f>
        <v>-30.521784654761213</v>
      </c>
      <c r="O63" s="72">
        <v>72.51</v>
      </c>
      <c r="P63" s="72">
        <v>73.38</v>
      </c>
      <c r="Q63" s="72">
        <v>74.17</v>
      </c>
      <c r="R63" s="72">
        <v>74.12</v>
      </c>
      <c r="S63" s="72">
        <f>SUM(I63/733.821)</f>
        <v>48.8293466662851</v>
      </c>
      <c r="U63" s="13" t="s">
        <v>50</v>
      </c>
    </row>
    <row r="64" spans="1:21" s="4" customFormat="1" ht="21.75" customHeight="1">
      <c r="A64" s="5"/>
      <c r="B64" s="8" t="s">
        <v>16</v>
      </c>
      <c r="D64" s="15"/>
      <c r="E64" s="32">
        <v>35617</v>
      </c>
      <c r="F64" s="32">
        <v>36453</v>
      </c>
      <c r="G64" s="32">
        <v>37185</v>
      </c>
      <c r="H64" s="42">
        <v>37522</v>
      </c>
      <c r="I64" s="35">
        <v>38225</v>
      </c>
      <c r="J64" s="71">
        <v>0.6840989399293286</v>
      </c>
      <c r="K64" s="71">
        <v>2.3471937557907743</v>
      </c>
      <c r="L64" s="71">
        <v>2.008065179820591</v>
      </c>
      <c r="M64" s="71">
        <v>0.9062794137421003</v>
      </c>
      <c r="N64" s="71">
        <f t="shared" si="2"/>
        <v>1.873567507062523</v>
      </c>
      <c r="O64" s="71">
        <v>28.4</v>
      </c>
      <c r="P64" s="71">
        <v>29.07</v>
      </c>
      <c r="Q64" s="71">
        <v>29.65</v>
      </c>
      <c r="R64" s="71">
        <v>29.92</v>
      </c>
      <c r="S64" s="71">
        <f>SUM(I64/1254.1)</f>
        <v>30.480025516306515</v>
      </c>
      <c r="U64" s="4" t="s">
        <v>25</v>
      </c>
    </row>
    <row r="65" spans="1:21" s="4" customFormat="1" ht="21.75" customHeight="1">
      <c r="A65" s="8"/>
      <c r="B65" s="16" t="s">
        <v>17</v>
      </c>
      <c r="C65" s="8"/>
      <c r="D65" s="8"/>
      <c r="E65" s="35">
        <f>E66+E67</f>
        <v>31865</v>
      </c>
      <c r="F65" s="35">
        <f>F66+F67</f>
        <v>32108</v>
      </c>
      <c r="G65" s="35">
        <f>G66+G67</f>
        <v>32224</v>
      </c>
      <c r="H65" s="35">
        <f>H66+H67</f>
        <v>31993</v>
      </c>
      <c r="I65" s="35">
        <f>I66+I67</f>
        <v>32252</v>
      </c>
      <c r="J65" s="71">
        <v>-2.1194900936876055</v>
      </c>
      <c r="K65" s="71">
        <v>0.7625921857837753</v>
      </c>
      <c r="L65" s="71">
        <v>0.36128067771271954</v>
      </c>
      <c r="M65" s="71">
        <v>-0.7168570009930486</v>
      </c>
      <c r="N65" s="71">
        <f t="shared" si="2"/>
        <v>0.8095520895195824</v>
      </c>
      <c r="O65" s="71">
        <v>106.21</v>
      </c>
      <c r="P65" s="71">
        <v>107.02</v>
      </c>
      <c r="Q65" s="71">
        <v>107.41</v>
      </c>
      <c r="R65" s="71">
        <v>106.64</v>
      </c>
      <c r="S65" s="71">
        <f>SUM(I65/300)</f>
        <v>107.50666666666666</v>
      </c>
      <c r="T65" s="17"/>
      <c r="U65" s="4" t="s">
        <v>26</v>
      </c>
    </row>
    <row r="66" spans="1:21" ht="21.75" customHeight="1">
      <c r="A66" s="9"/>
      <c r="B66" s="14" t="s">
        <v>65</v>
      </c>
      <c r="C66" s="18"/>
      <c r="D66" s="22"/>
      <c r="E66" s="31">
        <v>3626</v>
      </c>
      <c r="F66" s="31">
        <v>3589</v>
      </c>
      <c r="G66" s="31">
        <v>3591</v>
      </c>
      <c r="H66" s="39">
        <v>3534</v>
      </c>
      <c r="I66" s="37">
        <v>3590</v>
      </c>
      <c r="J66" s="72">
        <v>-0.43931905546403077</v>
      </c>
      <c r="K66" s="72">
        <v>-1.0204081632653061</v>
      </c>
      <c r="L66" s="72">
        <v>0.05572582892170521</v>
      </c>
      <c r="M66" s="72">
        <v>-1.5873015873015872</v>
      </c>
      <c r="N66" s="72">
        <f t="shared" si="2"/>
        <v>1.5846066779852859</v>
      </c>
      <c r="O66" s="72">
        <v>325.2</v>
      </c>
      <c r="P66" s="72">
        <v>321.88</v>
      </c>
      <c r="Q66" s="72">
        <v>322.06</v>
      </c>
      <c r="R66" s="72">
        <v>316.95</v>
      </c>
      <c r="S66" s="72">
        <f>SUM(I66/11.15)</f>
        <v>321.97309417040356</v>
      </c>
      <c r="T66" s="9"/>
      <c r="U66" s="13" t="s">
        <v>73</v>
      </c>
    </row>
    <row r="67" spans="1:21" ht="21.75" customHeight="1">
      <c r="A67" s="9" t="s">
        <v>5</v>
      </c>
      <c r="B67" s="14" t="s">
        <v>39</v>
      </c>
      <c r="C67" s="18"/>
      <c r="D67" s="22"/>
      <c r="E67" s="31">
        <v>28239</v>
      </c>
      <c r="F67" s="31">
        <v>28519</v>
      </c>
      <c r="G67" s="31">
        <v>28633</v>
      </c>
      <c r="H67" s="39">
        <v>28459</v>
      </c>
      <c r="I67" s="37">
        <v>28662</v>
      </c>
      <c r="J67" s="72">
        <v>-2.3311313250095114</v>
      </c>
      <c r="K67" s="72">
        <v>0.9915365274974326</v>
      </c>
      <c r="L67" s="72">
        <v>0.39973351099267157</v>
      </c>
      <c r="M67" s="72">
        <v>-0.6076904271295358</v>
      </c>
      <c r="N67" s="72">
        <f t="shared" si="2"/>
        <v>0.713306862503953</v>
      </c>
      <c r="O67" s="72">
        <v>97.76</v>
      </c>
      <c r="P67" s="72">
        <v>98.73</v>
      </c>
      <c r="Q67" s="72">
        <v>99.12</v>
      </c>
      <c r="R67" s="72">
        <v>98.52</v>
      </c>
      <c r="S67" s="72">
        <f>SUM(I67/288.867)</f>
        <v>99.22213336933605</v>
      </c>
      <c r="T67" s="9"/>
      <c r="U67" s="13" t="s">
        <v>50</v>
      </c>
    </row>
    <row r="68" spans="2:21" s="8" customFormat="1" ht="21.75" customHeight="1">
      <c r="B68" s="12" t="s">
        <v>66</v>
      </c>
      <c r="C68" s="26"/>
      <c r="E68" s="32">
        <v>25635</v>
      </c>
      <c r="F68" s="34">
        <v>25940</v>
      </c>
      <c r="G68" s="34">
        <v>26001</v>
      </c>
      <c r="H68" s="43">
        <v>25954</v>
      </c>
      <c r="I68" s="35">
        <f>I69+I70</f>
        <v>26154</v>
      </c>
      <c r="J68" s="71">
        <v>0.829924480805538</v>
      </c>
      <c r="K68" s="71">
        <v>1.1897795982055783</v>
      </c>
      <c r="L68" s="71">
        <v>0.23515805705474171</v>
      </c>
      <c r="M68" s="71">
        <v>-0.1807622783739087</v>
      </c>
      <c r="N68" s="71">
        <f t="shared" si="2"/>
        <v>0.7705941280727441</v>
      </c>
      <c r="O68" s="71">
        <v>30.88</v>
      </c>
      <c r="P68" s="71">
        <v>31.24</v>
      </c>
      <c r="Q68" s="71">
        <v>31.32</v>
      </c>
      <c r="R68" s="71">
        <v>31.26</v>
      </c>
      <c r="S68" s="71">
        <f>SUM(I68/830.2)</f>
        <v>31.503252228378702</v>
      </c>
      <c r="U68" s="8" t="s">
        <v>35</v>
      </c>
    </row>
    <row r="69" spans="2:21" s="9" customFormat="1" ht="21.75" customHeight="1">
      <c r="B69" s="9" t="s">
        <v>76</v>
      </c>
      <c r="E69" s="11" t="s">
        <v>28</v>
      </c>
      <c r="F69" s="11" t="s">
        <v>28</v>
      </c>
      <c r="G69" s="11" t="s">
        <v>28</v>
      </c>
      <c r="H69" s="11" t="s">
        <v>28</v>
      </c>
      <c r="I69" s="44">
        <v>6485</v>
      </c>
      <c r="J69" s="72" t="s">
        <v>28</v>
      </c>
      <c r="K69" s="72" t="s">
        <v>28</v>
      </c>
      <c r="L69" s="72" t="s">
        <v>28</v>
      </c>
      <c r="M69" s="72" t="s">
        <v>28</v>
      </c>
      <c r="N69" s="72" t="s">
        <v>28</v>
      </c>
      <c r="O69" s="72" t="s">
        <v>28</v>
      </c>
      <c r="P69" s="72" t="s">
        <v>28</v>
      </c>
      <c r="Q69" s="72" t="s">
        <v>28</v>
      </c>
      <c r="R69" s="72" t="s">
        <v>28</v>
      </c>
      <c r="S69" s="72">
        <f>SUM(I69/103)</f>
        <v>62.96116504854369</v>
      </c>
      <c r="U69" s="13" t="s">
        <v>80</v>
      </c>
    </row>
    <row r="70" spans="1:21" ht="21.75" customHeight="1">
      <c r="A70" s="9"/>
      <c r="B70" s="9" t="s">
        <v>39</v>
      </c>
      <c r="C70" s="9"/>
      <c r="D70" s="9"/>
      <c r="E70" s="31">
        <v>25635</v>
      </c>
      <c r="F70" s="31">
        <v>25940</v>
      </c>
      <c r="G70" s="31">
        <v>26001</v>
      </c>
      <c r="H70" s="39">
        <v>25954</v>
      </c>
      <c r="I70" s="44">
        <v>19669</v>
      </c>
      <c r="J70" s="72">
        <v>0.829924480805538</v>
      </c>
      <c r="K70" s="72">
        <v>1.1897795982055783</v>
      </c>
      <c r="L70" s="72">
        <v>0.23515805705474171</v>
      </c>
      <c r="M70" s="72">
        <v>-0.1807622783739087</v>
      </c>
      <c r="N70" s="72">
        <f>SUM((I70-H70)/H70)*100</f>
        <v>-24.215920474685984</v>
      </c>
      <c r="O70" s="72">
        <v>30.88</v>
      </c>
      <c r="P70" s="72">
        <v>31.24</v>
      </c>
      <c r="Q70" s="72">
        <v>31.32</v>
      </c>
      <c r="R70" s="72">
        <v>31.26</v>
      </c>
      <c r="S70" s="72">
        <f>SUM(I70/830.22)</f>
        <v>23.691310736913106</v>
      </c>
      <c r="T70" s="9"/>
      <c r="U70" s="20" t="s">
        <v>50</v>
      </c>
    </row>
    <row r="71" spans="1:21" ht="13.5" customHeight="1">
      <c r="A71" s="7"/>
      <c r="B71" s="7"/>
      <c r="C71" s="7"/>
      <c r="D71" s="7"/>
      <c r="E71" s="33"/>
      <c r="F71" s="33"/>
      <c r="G71" s="33"/>
      <c r="H71" s="40"/>
      <c r="I71" s="45"/>
      <c r="J71" s="79"/>
      <c r="K71" s="79"/>
      <c r="L71" s="79"/>
      <c r="M71" s="79"/>
      <c r="N71" s="79"/>
      <c r="O71" s="79"/>
      <c r="P71" s="79"/>
      <c r="Q71" s="79"/>
      <c r="R71" s="79"/>
      <c r="S71" s="80"/>
      <c r="T71" s="7"/>
      <c r="U71" s="25"/>
    </row>
    <row r="72" spans="1:21" ht="7.5" customHeight="1">
      <c r="A72" s="9"/>
      <c r="B72" s="9"/>
      <c r="C72" s="9"/>
      <c r="D72" s="9"/>
      <c r="E72" s="49"/>
      <c r="F72" s="49"/>
      <c r="G72" s="49"/>
      <c r="H72" s="50"/>
      <c r="I72" s="51"/>
      <c r="J72" s="48"/>
      <c r="K72" s="48"/>
      <c r="L72" s="48"/>
      <c r="M72" s="48"/>
      <c r="N72" s="48"/>
      <c r="O72" s="48"/>
      <c r="P72" s="48"/>
      <c r="Q72" s="48"/>
      <c r="R72" s="48"/>
      <c r="S72" s="9"/>
      <c r="T72" s="9"/>
      <c r="U72" s="20"/>
    </row>
    <row r="73" s="3" customFormat="1" ht="21" customHeight="1">
      <c r="B73" s="21" t="s">
        <v>33</v>
      </c>
    </row>
    <row r="74" s="3" customFormat="1" ht="21" customHeight="1">
      <c r="B74" s="21" t="s">
        <v>67</v>
      </c>
    </row>
    <row r="75" ht="21" customHeight="1"/>
  </sheetData>
  <mergeCells count="26">
    <mergeCell ref="T56:U59"/>
    <mergeCell ref="E57:I57"/>
    <mergeCell ref="J57:N57"/>
    <mergeCell ref="O57:S57"/>
    <mergeCell ref="A56:D59"/>
    <mergeCell ref="E56:I56"/>
    <mergeCell ref="J56:N56"/>
    <mergeCell ref="O56:S56"/>
    <mergeCell ref="T30:U33"/>
    <mergeCell ref="E31:I31"/>
    <mergeCell ref="J31:N31"/>
    <mergeCell ref="O31:S31"/>
    <mergeCell ref="A30:D33"/>
    <mergeCell ref="E30:I30"/>
    <mergeCell ref="J30:N30"/>
    <mergeCell ref="O30:S30"/>
    <mergeCell ref="T4:U7"/>
    <mergeCell ref="A8:D8"/>
    <mergeCell ref="T8:U8"/>
    <mergeCell ref="E4:I4"/>
    <mergeCell ref="J4:N4"/>
    <mergeCell ref="A4:D7"/>
    <mergeCell ref="E5:I5"/>
    <mergeCell ref="J5:N5"/>
    <mergeCell ref="O4:S4"/>
    <mergeCell ref="O5:S5"/>
  </mergeCells>
  <printOptions/>
  <pageMargins left="0.8267716535433072" right="0.31496062992125984" top="0.984251968503937" bottom="0.984251968503937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2009-06-17T05:09:37Z</cp:lastPrinted>
  <dcterms:created xsi:type="dcterms:W3CDTF">2004-08-16T17:13:42Z</dcterms:created>
  <dcterms:modified xsi:type="dcterms:W3CDTF">2009-06-23T07:38:42Z</dcterms:modified>
  <cp:category/>
  <cp:version/>
  <cp:contentType/>
  <cp:contentStatus/>
</cp:coreProperties>
</file>